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1cfdf5cf5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a27834a21f243c5"/>
    <x:sheet xmlns:r="http://schemas.openxmlformats.org/officeDocument/2006/relationships" name="Assumptions" sheetId="2" r:id="R56f448ecefe247bd"/>
    <x:sheet xmlns:r="http://schemas.openxmlformats.org/officeDocument/2006/relationships" name="Revenue Model" sheetId="3" r:id="R2b26da7ab086487d"/>
    <x:sheet xmlns:r="http://schemas.openxmlformats.org/officeDocument/2006/relationships" name="Operating Costs" sheetId="4" r:id="R00ed59e085ec4c5c"/>
    <x:sheet xmlns:r="http://schemas.openxmlformats.org/officeDocument/2006/relationships" name="P&amp;L" sheetId="5" r:id="R5fc3e9426a6d444a"/>
    <x:sheet xmlns:r="http://schemas.openxmlformats.org/officeDocument/2006/relationships" name="Cash Flow" sheetId="6" r:id="R75bf93b4b16f4bf5"/>
    <x:sheet xmlns:r="http://schemas.openxmlformats.org/officeDocument/2006/relationships" name="Capex" sheetId="7" r:id="Rff622bb2911a452a"/>
    <x:sheet xmlns:r="http://schemas.openxmlformats.org/officeDocument/2006/relationships" name="Sensitivity" sheetId="8" r:id="Rfe23a6e3f9b64c16"/>
    <x:sheet xmlns:r="http://schemas.openxmlformats.org/officeDocument/2006/relationships" name="Cost Audit" sheetId="9" r:id="R997e3d7876104b09"/>
    <x:sheet xmlns:r="http://schemas.openxmlformats.org/officeDocument/2006/relationships" name="Checks" sheetId="10" r:id="R0fac406e8d324ad9"/>
    <x:sheet xmlns:r="http://schemas.openxmlformats.org/officeDocument/2006/relationships" name="Sources" sheetId="11" r:id="R21938abeeeaa42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0.0%"/>
    <x:numFmt numFmtId="202" formatCode="€#,##0;[Red](€#,##0);-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42820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6"/>
      <x:name val="Carlito"/>
    </x:font>
    <x:font>
      <x:b/>
      <x:sz val="10"/>
      <x:color rgb="FF242820"/>
      <x:name val="Aptos"/>
    </x:font>
    <x:font>
      <x:i/>
      <x:sz val="10"/>
      <x:color rgb="FF242820"/>
      <x:name val="Aptos"/>
    </x:font>
    <x:font>
      <x:sz val="10"/>
      <x:color rgb="FF242820"/>
      <x:name val="Aptos"/>
    </x:font>
    <x:font>
      <x:b/>
      <x:sz val="18"/>
      <x:color rgb="FFFFFFFF"/>
      <x:name val="Georgia"/>
    </x:font>
  </x:fonts>
  <x:fills count="7">
    <x:fill>
      <x:patternFill patternType="none"/>
    </x:fill>
    <x:fill>
      <x:patternFill patternType="gray125"/>
    </x:fill>
    <x:fill>
      <x:patternFill patternType="solid">
        <x:fgColor rgb="FF173F2B"/>
      </x:patternFill>
    </x:fill>
    <x:fill>
      <x:patternFill patternType="solid">
        <x:fgColor rgb="FFF7F1E5"/>
      </x:patternFill>
    </x:fill>
    <x:fill>
      <x:patternFill patternType="solid">
        <x:fgColor rgb="FF6F8061"/>
      </x:patternFill>
    </x:fill>
    <x:fill>
      <x:patternFill patternType="solid">
        <x:fgColor rgb="FFEEF2E9"/>
      </x:patternFill>
    </x:fill>
    <x:fill>
      <x:patternFill patternType="solid">
        <x:fgColor rgb="FFFFF2CC"/>
      </x:patternFill>
    </x:fill>
  </x:fills>
  <x:borders count="13">
    <x:border/>
    <x:border>
      <x:left style="thin">
        <x:color rgb="FFD6C56F"/>
      </x:left>
      <x:right style="thin">
        <x:color rgb="FFD6C56F"/>
      </x:right>
      <x:top style="thin">
        <x:color rgb="FFD6C56F"/>
      </x:top>
    </x:border>
    <x:border>
      <x:left style="thin">
        <x:color rgb="FFD6C56F"/>
      </x:left>
      <x:right style="thin">
        <x:color rgb="FFD6C56F"/>
      </x:right>
    </x:border>
    <x:border>
      <x:left style="thin">
        <x:color rgb="FFD6C56F"/>
      </x:left>
      <x:right style="thin">
        <x:color rgb="FFD6C56F"/>
      </x:right>
      <x:bottom style="thin">
        <x:color rgb="FFD6C56F"/>
      </x:bottom>
    </x:border>
    <x:border>
      <x:left style="thin">
        <x:color rgb="FFD6C56F"/>
      </x:left>
      <x:top style="thin">
        <x:color rgb="FFD6C56F"/>
      </x:top>
    </x:border>
    <x:border>
      <x:top style="thin">
        <x:color rgb="FFD6C56F"/>
      </x:top>
    </x:border>
    <x:border>
      <x:right style="thin">
        <x:color rgb="FFD6C56F"/>
      </x:right>
      <x:top style="thin">
        <x:color rgb="FFD6C56F"/>
      </x:top>
    </x:border>
    <x:border>
      <x:left style="thin">
        <x:color rgb="FFD6C56F"/>
      </x:left>
    </x:border>
    <x:border>
      <x:right style="thin">
        <x:color rgb="FFD6C56F"/>
      </x:right>
    </x:border>
    <x:border>
      <x:left style="thin">
        <x:color rgb="FFD6C56F"/>
      </x:left>
      <x:bottom style="thin">
        <x:color rgb="FFD6C56F"/>
      </x:bottom>
    </x:border>
    <x:border>
      <x:bottom style="thin">
        <x:color rgb="FFD6C56F"/>
      </x:bottom>
    </x:border>
    <x:border>
      <x:right style="thin">
        <x:color rgb="FFD6C56F"/>
      </x:right>
      <x:bottom style="thin">
        <x:color rgb="FFD6C56F"/>
      </x:bottom>
    </x:border>
    <x:border>
      <x:top style="thin">
        <x:color rgb="FF242820"/>
      </x:top>
    </x:border>
  </x:borders>
  <x:cellStyleXfs count="1">
    <x:xf numFmtId="0" fontId="0" fillId="0" borderId="0"/>
  </x:cellStyleXfs>
  <x:cellXfs count="1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200" fontId="5" fillId="6" borderId="1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9" xfId="0" applyNumberFormat="1" applyFont="1" applyFill="1" applyBorder="1"/>
    <x:xf numFmtId="0" fontId="5" fillId="6" borderId="10" xfId="0" applyNumberFormat="1" applyFont="1" applyFill="1" applyBorder="1"/>
    <x:xf numFmtId="0" fontId="5" fillId="6" borderId="11" xfId="0" applyNumberFormat="1" applyFont="1" applyFill="1" applyBorder="1"/>
    <x:xf numFmtId="201" fontId="5" fillId="6" borderId="4" xfId="0" applyNumberFormat="1" applyFont="1" applyFill="1" applyBorder="1"/>
    <x:xf numFmtId="201" fontId="5" fillId="6" borderId="5" xfId="0" applyNumberFormat="1" applyFont="1" applyFill="1" applyBorder="1"/>
    <x:xf numFmtId="201" fontId="5" fillId="6" borderId="6" xfId="0" applyNumberFormat="1" applyFont="1" applyFill="1" applyBorder="1"/>
    <x:xf numFmtId="202" fontId="5" fillId="6" borderId="7" xfId="0" applyNumberFormat="1" applyFont="1" applyFill="1" applyBorder="1"/>
    <x:xf numFmtId="202" fontId="5" fillId="6" borderId="0" xfId="0" applyNumberFormat="1" applyFont="1" applyFill="1" applyBorder="1"/>
    <x:xf numFmtId="202" fontId="5" fillId="6" borderId="8" xfId="0" applyNumberFormat="1" applyFont="1" applyFill="1" applyBorder="1"/>
    <x:xf numFmtId="201" fontId="5" fillId="6" borderId="7" xfId="0" applyNumberFormat="1" applyFont="1" applyFill="1" applyBorder="1"/>
    <x:xf numFmtId="201" fontId="5" fillId="6" borderId="0" xfId="0" applyNumberFormat="1" applyFont="1" applyFill="1" applyBorder="1"/>
    <x:xf numFmtId="201" fontId="5" fillId="6" borderId="8" xfId="0" applyNumberFormat="1" applyFont="1" applyFill="1" applyBorder="1"/>
    <x:xf numFmtId="201" fontId="5" fillId="6" borderId="9" xfId="0" applyNumberFormat="1" applyFont="1" applyFill="1" applyBorder="1"/>
    <x:xf numFmtId="201" fontId="5" fillId="6" borderId="10" xfId="0" applyNumberFormat="1" applyFont="1" applyFill="1" applyBorder="1"/>
    <x:xf numFmtId="201" fontId="5" fillId="6" borderId="11" xfId="0" applyNumberFormat="1" applyFont="1" applyFill="1" applyBorder="1"/>
    <x:xf numFmtId="202" fontId="5" fillId="6" borderId="1" xfId="0" applyNumberFormat="1" applyFont="1" applyFill="1" applyBorder="1"/>
    <x:xf numFmtId="202" fontId="5" fillId="6" borderId="2" xfId="0" applyNumberFormat="1" applyFont="1" applyFill="1" applyBorder="1"/>
    <x:xf numFmtId="201" fontId="5" fillId="6" borderId="2" xfId="0" applyNumberFormat="1" applyFont="1" applyFill="1" applyBorder="1"/>
    <x:xf numFmtId="202" fontId="5" fillId="6" borderId="3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4" fillId="0" borderId="12" xfId="0" applyNumberFormat="1" applyFont="1" applyFill="1" applyBorder="1"/>
    <x:xf numFmtId="202" fontId="4" fillId="0" borderId="12" xfId="0" applyNumberFormat="1" applyFont="1" applyFill="1" applyBorder="1"/>
    <x:xf numFmtId="201" fontId="4" fillId="0" borderId="0" xfId="0" applyNumberFormat="1" applyFont="1" applyFill="1" applyBorder="1"/>
    <x:xf numFmtId="201" fontId="4" fillId="0" borderId="12" xfId="0" applyNumberFormat="1" applyFont="1" applyFill="1" applyBorder="1"/>
    <x:xf numFmtId="202" fontId="3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5" fillId="6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5" fillId="6" borderId="2" xfId="0" applyNumberFormat="1" applyFont="1" applyFill="1" applyBorder="1" applyAlignment="1">
      <x:alignment wrapText="1"/>
    </x:xf>
    <x:xf numFmtId="202" fontId="5" fillId="6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202" fontId="4" fillId="0" borderId="12" xfId="0" applyNumberFormat="1" applyFont="1" applyFill="1" applyBorder="1" applyAlignment="1">
      <x:alignment wrapText="1"/>
    </x:xf>
    <x:xf numFmtId="201" fontId="4" fillId="0" borderId="12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6" fillId="5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202" fontId="9" fillId="0" borderId="0" xfId="0" applyNumberFormat="1" applyFont="1" applyFill="1" applyBorder="1"/>
    <x:xf numFmtId="201" fontId="9" fillId="0" borderId="0" xfId="0" applyNumberFormat="1" applyFont="1" applyFill="1" applyBorder="1"/>
    <x:xf numFmtId="0" fontId="7" fillId="0" borderId="12" xfId="0" applyNumberFormat="1" applyFont="1" applyFill="1" applyBorder="1"/>
    <x:xf numFmtId="202" fontId="7" fillId="0" borderId="12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200" fontId="9" fillId="6" borderId="1" xfId="0" applyNumberFormat="1" applyFont="1" applyFill="1" applyBorder="1"/>
    <x:xf numFmtId="0" fontId="9" fillId="6" borderId="2" xfId="0" applyNumberFormat="1" applyFont="1" applyFill="1" applyBorder="1"/>
    <x:xf numFmtId="0" fontId="9" fillId="6" borderId="3" xfId="0" applyNumberFormat="1" applyFont="1" applyFill="1" applyBorder="1"/>
    <x:xf numFmtId="201" fontId="9" fillId="6" borderId="4" xfId="0" applyNumberFormat="1" applyFont="1" applyFill="1" applyBorder="1"/>
    <x:xf numFmtId="201" fontId="9" fillId="6" borderId="5" xfId="0" applyNumberFormat="1" applyFont="1" applyFill="1" applyBorder="1"/>
    <x:xf numFmtId="201" fontId="9" fillId="6" borderId="6" xfId="0" applyNumberFormat="1" applyFont="1" applyFill="1" applyBorder="1"/>
    <x:xf numFmtId="202" fontId="9" fillId="6" borderId="7" xfId="0" applyNumberFormat="1" applyFont="1" applyFill="1" applyBorder="1"/>
    <x:xf numFmtId="202" fontId="9" fillId="6" borderId="0" xfId="0" applyNumberFormat="1" applyFont="1" applyFill="1" applyBorder="1"/>
    <x:xf numFmtId="202" fontId="9" fillId="6" borderId="8" xfId="0" applyNumberFormat="1" applyFont="1" applyFill="1" applyBorder="1"/>
    <x:xf numFmtId="201" fontId="9" fillId="6" borderId="7" xfId="0" applyNumberFormat="1" applyFont="1" applyFill="1" applyBorder="1"/>
    <x:xf numFmtId="201" fontId="9" fillId="6" borderId="0" xfId="0" applyNumberFormat="1" applyFont="1" applyFill="1" applyBorder="1"/>
    <x:xf numFmtId="201" fontId="9" fillId="6" borderId="8" xfId="0" applyNumberFormat="1" applyFont="1" applyFill="1" applyBorder="1"/>
    <x:xf numFmtId="201" fontId="9" fillId="6" borderId="9" xfId="0" applyNumberFormat="1" applyFont="1" applyFill="1" applyBorder="1"/>
    <x:xf numFmtId="201" fontId="9" fillId="6" borderId="10" xfId="0" applyNumberFormat="1" applyFont="1" applyFill="1" applyBorder="1"/>
    <x:xf numFmtId="201" fontId="9" fillId="6" borderId="11" xfId="0" applyNumberFormat="1" applyFont="1" applyFill="1" applyBorder="1"/>
    <x:xf numFmtId="202" fontId="9" fillId="6" borderId="1" xfId="0" applyNumberFormat="1" applyFont="1" applyFill="1" applyBorder="1"/>
    <x:xf numFmtId="202" fontId="9" fillId="6" borderId="2" xfId="0" applyNumberFormat="1" applyFont="1" applyFill="1" applyBorder="1"/>
    <x:xf numFmtId="201" fontId="9" fillId="6" borderId="2" xfId="0" applyNumberFormat="1" applyFont="1" applyFill="1" applyBorder="1"/>
    <x:xf numFmtId="202" fontId="9" fillId="6" borderId="3" xfId="0" applyNumberFormat="1" applyFont="1" applyFill="1" applyBorder="1"/>
    <x:xf numFmtId="0" fontId="7" fillId="4" borderId="0" xfId="0" applyNumberFormat="1" applyFont="1" applyFill="1" applyBorder="1"/>
    <x:xf numFmtId="201" fontId="7" fillId="0" borderId="12" xfId="0" applyNumberFormat="1" applyFont="1" applyFill="1" applyBorder="1"/>
    <x:xf numFmtId="202" fontId="7" fillId="4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202" fontId="9" fillId="0" borderId="0" xfId="0" applyNumberFormat="1" applyFont="1" applyFill="1" applyBorder="1" applyAlignment="1">
      <x:alignment wrapText="1"/>
    </x:xf>
    <x:xf numFmtId="202" fontId="9" fillId="6" borderId="1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2" fontId="9" fillId="6" borderId="2" xfId="0" applyNumberFormat="1" applyFont="1" applyFill="1" applyBorder="1" applyAlignment="1">
      <x:alignment wrapText="1"/>
    </x:xf>
    <x:xf numFmtId="202" fontId="9" fillId="6" borderId="3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202" fontId="7" fillId="0" borderId="12" xfId="0" applyNumberFormat="1" applyFont="1" applyFill="1" applyBorder="1" applyAlignment="1">
      <x:alignment wrapText="1"/>
    </x:xf>
    <x:xf numFmtId="201" fontId="7" fillId="0" borderId="12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d4e99b6fb40af" /><Relationship Type="http://schemas.openxmlformats.org/officeDocument/2006/relationships/theme" Target="/xl/theme/theme1.xml" Id="R019808ea6b4f43a9" /><Relationship Type="http://schemas.openxmlformats.org/officeDocument/2006/relationships/sharedStrings" Target="/xl/sharedStrings.xml" Id="R9fe75c7f80e84886" /><Relationship Type="http://schemas.openxmlformats.org/officeDocument/2006/relationships/worksheet" Target="/xl/worksheets/sheet1.xml" Id="R4a27834a21f243c5" /><Relationship Type="http://schemas.openxmlformats.org/officeDocument/2006/relationships/worksheet" Target="/xl/worksheets/sheet2.xml" Id="R56f448ecefe247bd" /><Relationship Type="http://schemas.openxmlformats.org/officeDocument/2006/relationships/worksheet" Target="/xl/worksheets/sheet3.xml" Id="R2b26da7ab086487d" /><Relationship Type="http://schemas.openxmlformats.org/officeDocument/2006/relationships/worksheet" Target="/xl/worksheets/sheet4.xml" Id="R00ed59e085ec4c5c" /><Relationship Type="http://schemas.openxmlformats.org/officeDocument/2006/relationships/worksheet" Target="/xl/worksheets/sheet5.xml" Id="R5fc3e9426a6d444a" /><Relationship Type="http://schemas.openxmlformats.org/officeDocument/2006/relationships/worksheet" Target="/xl/worksheets/sheet6.xml" Id="R75bf93b4b16f4bf5" /><Relationship Type="http://schemas.openxmlformats.org/officeDocument/2006/relationships/worksheet" Target="/xl/worksheets/sheet7.xml" Id="Rff622bb2911a452a" /><Relationship Type="http://schemas.openxmlformats.org/officeDocument/2006/relationships/worksheet" Target="/xl/worksheets/sheet8.xml" Id="Rfe23a6e3f9b64c16" /><Relationship Type="http://schemas.openxmlformats.org/officeDocument/2006/relationships/worksheet" Target="/xl/worksheets/sheet9.xml" Id="R997e3d7876104b09" /><Relationship Type="http://schemas.openxmlformats.org/officeDocument/2006/relationships/worksheet" Target="/xl/worksheets/sheet10.xml" Id="R0fac406e8d324ad9" /><Relationship Type="http://schemas.openxmlformats.org/officeDocument/2006/relationships/worksheet" Target="/xl/worksheets/sheet11.xml" Id="R21938abeeeaa42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" hidden="0" customWidth="1"/>
  </x:cols>
  <x:sheetData>
    <x:row r="1" ht="34" customHeight="1">
      <x:c r="A1" s="111" t="str">
        <x:v>SALAMINA - DETAILED FINANCIAL MODEL</x:v>
      </x:c>
      <x:c r="B1" s="111" t="str">
        <x:v>SALAMINA - DETAILED FINANCIAL MODEL</x:v>
      </x:c>
      <x:c r="C1" s="111" t="str">
        <x:v>SALAMINA - DETAILED FINANCIAL MODEL</x:v>
      </x:c>
      <x:c r="D1" s="111" t="str">
        <x:v>SALAMINA - DETAILED FINANCIAL MODEL</x:v>
      </x:c>
      <x:c r="E1" s="111" t="str">
        <x:v>SALAMINA - DETAILED FINANCIAL MODEL</x:v>
      </x:c>
      <x:c r="F1" s="111" t="str">
        <x:v>SALAMINA - DETAILED FINANCIAL MODEL</x:v>
      </x:c>
      <x:c r="G1" s="111" t="str">
        <x:v>SALAMINA - DETAILED FINANCIAL MODEL</x:v>
      </x:c>
      <x:c r="H1" s="111" t="str">
        <x:v>SALAMINA - DETAILED FINANCIAL MODEL</x:v>
      </x:c>
    </x:row>
    <x:row r="2" ht="30" customHeight="1">
      <x:c r="A2" s="69" t="str">
        <x:v>Purpose-led 12-room coliving + coworking resort | Kerandangan, Lombok | Intended opening September 2027</x:v>
      </x:c>
      <x:c r="B2" s="69" t="str">
        <x:v>Purpose-led 12-room coliving + coworking resort | Kerandangan, Lombok | Intended opening September 2027</x:v>
      </x:c>
      <x:c r="C2" s="69" t="str">
        <x:v>Purpose-led 12-room coliving + coworking resort | Kerandangan, Lombok | Intended opening September 2027</x:v>
      </x:c>
      <x:c r="D2" s="69" t="str">
        <x:v>Purpose-led 12-room coliving + coworking resort | Kerandangan, Lombok | Intended opening September 2027</x:v>
      </x:c>
      <x:c r="E2" s="69" t="str">
        <x:v>Purpose-led 12-room coliving + coworking resort | Kerandangan, Lombok | Intended opening September 2027</x:v>
      </x:c>
      <x:c r="F2" s="69" t="str">
        <x:v>Purpose-led 12-room coliving + coworking resort | Kerandangan, Lombok | Intended opening September 2027</x:v>
      </x:c>
      <x:c r="G2" s="69" t="str">
        <x:v>Purpose-led 12-room coliving + coworking resort | Kerandangan, Lombok | Intended opening September 2027</x:v>
      </x:c>
      <x:c r="H2" s="69" t="str">
        <x:v>Purpose-led 12-room coliving + coworking resort | Kerandangan, Lombok | Intended opening September 2027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70"/>
      <x:c r="B4" s="71" t="str">
        <x:v>CURRENT PRUDENT INVESTMENT SNAPSHOT</x:v>
      </x:c>
      <x:c r="C4" s="71" t="str">
        <x:v>CURRENT PRUDENT INVESTMENT SNAPSHOT</x:v>
      </x:c>
      <x:c r="D4" s="71" t="str">
        <x:v>CURRENT PRUDENT INVESTMENT SNAPSHOT</x:v>
      </x:c>
      <x:c r="E4" s="71" t="str">
        <x:v>CURRENT PRUDENT INVESTMENT SNAPSHOT</x:v>
      </x:c>
      <x:c r="F4" s="71" t="str">
        <x:v>CURRENT PRUDENT INVESTMENT SNAPSHOT</x:v>
      </x:c>
      <x:c r="G4" s="71" t="str">
        <x:v>CURRENT PRUDENT INVESTMENT SNAPSHOT</x:v>
      </x:c>
      <x:c r="H4" s="70"/>
    </x:row>
    <x:row r="5">
      <x:c r="A5" s="70"/>
      <x:c r="B5" s="72" t="str">
        <x:v>Metric</x:v>
      </x:c>
      <x:c r="C5" s="72" t="str">
        <x:v>Value</x:v>
      </x:c>
      <x:c r="D5" s="72" t="str">
        <x:v>Metric</x:v>
      </x:c>
      <x:c r="E5" s="72" t="str">
        <x:v>Value</x:v>
      </x:c>
      <x:c r="F5" s="72" t="str">
        <x:v>Metric</x:v>
      </x:c>
      <x:c r="G5" s="72" t="str">
        <x:v>Value</x:v>
      </x:c>
      <x:c r="H5" s="70"/>
    </x:row>
    <x:row r="6">
      <x:c r="A6" s="70"/>
      <x:c r="B6" s="70" t="str">
        <x:v>Total project investment</x:v>
      </x:c>
      <x:c r="C6" s="73" t="n">
        <x:f>'Capex'!B14*1000</x:f>
        <x:v>242000</x:v>
      </x:c>
      <x:c r="D6" s="70" t="str">
        <x:v>Land acquisition</x:v>
      </x:c>
      <x:c r="E6" s="73" t="n">
        <x:f>'Capex'!B5*1000</x:f>
        <x:v>48000</x:v>
      </x:c>
      <x:c r="F6" s="70" t="str">
        <x:v>Rooms</x:v>
      </x:c>
      <x:c r="G6" s="70" t="n">
        <x:f>'Assumptions'!C7</x:f>
        <x:v>12</x:v>
      </x:c>
      <x:c r="H6" s="70"/>
    </x:row>
    <x:row r="7">
      <x:c r="A7" s="70"/>
      <x:c r="B7" s="70" t="str">
        <x:v>Land status</x:v>
      </x:c>
      <x:c r="C7" s="70" t="str">
        <x:v>Purchased / owned</x:v>
      </x:c>
      <x:c r="D7" s="70" t="str">
        <x:v>Core staff</x:v>
      </x:c>
      <x:c r="E7" s="70" t="n">
        <x:f>'Assumptions'!C10</x:f>
        <x:v>4</x:v>
      </x:c>
      <x:c r="F7" s="70" t="str">
        <x:v>Investor tickets</x:v>
      </x:c>
      <x:c r="G7" s="70" t="str">
        <x:v>€40k-€60k</x:v>
      </x:c>
      <x:c r="H7" s="70"/>
    </x:row>
    <x:row r="8">
      <x:c r="A8" s="70"/>
      <x:c r="B8" s="70"/>
      <x:c r="C8" s="70"/>
      <x:c r="D8" s="70"/>
      <x:c r="E8" s="70"/>
      <x:c r="F8" s="70"/>
      <x:c r="G8" s="70"/>
      <x:c r="H8" s="70"/>
    </x:row>
    <x:row r="9">
      <x:c r="A9" s="70"/>
      <x:c r="B9" s="70"/>
      <x:c r="C9" s="70"/>
      <x:c r="D9" s="70"/>
      <x:c r="E9" s="70"/>
      <x:c r="F9" s="70"/>
      <x:c r="G9" s="70"/>
      <x:c r="H9" s="70"/>
    </x:row>
    <x:row r="10">
      <x:c r="A10" s="70"/>
      <x:c r="B10" s="71" t="str">
        <x:v>FIVE-YEAR PRUDENT CASE</x:v>
      </x:c>
      <x:c r="C10" s="71" t="str">
        <x:v>FIVE-YEAR PRUDENT CASE</x:v>
      </x:c>
      <x:c r="D10" s="71" t="str">
        <x:v>FIVE-YEAR PRUDENT CASE</x:v>
      </x:c>
      <x:c r="E10" s="71" t="str">
        <x:v>FIVE-YEAR PRUDENT CASE</x:v>
      </x:c>
      <x:c r="F10" s="71" t="str">
        <x:v>FIVE-YEAR PRUDENT CASE</x:v>
      </x:c>
      <x:c r="G10" s="71" t="str">
        <x:v>FIVE-YEAR PRUDENT CASE</x:v>
      </x:c>
      <x:c r="H10" s="70"/>
    </x:row>
    <x:row r="11">
      <x:c r="A11" s="70"/>
      <x:c r="B11" s="72" t="str">
        <x:v>€</x:v>
      </x:c>
      <x:c r="C11" s="72" t="str">
        <x:v>First full year</x:v>
      </x:c>
      <x:c r="D11" s="72" t="str">
        <x:v>Year 2</x:v>
      </x:c>
      <x:c r="E11" s="72" t="str">
        <x:v>Year 3</x:v>
      </x:c>
      <x:c r="F11" s="72" t="str">
        <x:v>Year 4</x:v>
      </x:c>
      <x:c r="G11" s="72" t="str">
        <x:v>Year 5</x:v>
      </x:c>
      <x:c r="H11" s="70"/>
    </x:row>
    <x:row r="12">
      <x:c r="A12" s="70"/>
      <x:c r="B12" s="70" t="str">
        <x:v>Occupancy</x:v>
      </x:c>
      <x:c r="C12" s="74" t="n">
        <x:f>'Assumptions'!C$16</x:f>
        <x:v>0.5</x:v>
      </x:c>
      <x:c r="D12" s="74" t="n">
        <x:f>'Assumptions'!D$16</x:f>
        <x:v>0.625</x:v>
      </x:c>
      <x:c r="E12" s="74" t="n">
        <x:f>'Assumptions'!E$16</x:f>
        <x:v>0.7</x:v>
      </x:c>
      <x:c r="F12" s="74" t="n">
        <x:f>'Assumptions'!F$16</x:f>
        <x:v>0.72</x:v>
      </x:c>
      <x:c r="G12" s="74" t="n">
        <x:f>'Assumptions'!G$16</x:f>
        <x:v>0.74</x:v>
      </x:c>
      <x:c r="H12" s="70"/>
    </x:row>
    <x:row r="13">
      <x:c r="A13" s="70"/>
      <x:c r="B13" s="70" t="str">
        <x:v>Revenue</x:v>
      </x:c>
      <x:c r="C13" s="73" t="n">
        <x:f>'P&amp;L'!B$7</x:f>
        <x:v>63772.8</x:v>
      </x:c>
      <x:c r="D13" s="73" t="n">
        <x:f>'P&amp;L'!C$7</x:f>
        <x:v>85410</x:v>
      </x:c>
      <x:c r="E13" s="73" t="n">
        <x:f>'P&amp;L'!D$7</x:f>
        <x:v>102036.48</x:v>
      </x:c>
      <x:c r="F13" s="73" t="n">
        <x:f>'P&amp;L'!E$7</x:f>
        <x:v>108751.89600000001</x:v>
      </x:c>
      <x:c r="G13" s="73" t="n">
        <x:f>'P&amp;L'!F$7</x:f>
        <x:v>115710.83999999998</x:v>
      </x:c>
      <x:c r="H13" s="70"/>
    </x:row>
    <x:row r="14">
      <x:c r="A14" s="70"/>
      <x:c r="B14" s="70" t="str">
        <x:v>Operating costs</x:v>
      </x:c>
      <x:c r="C14" s="73" t="n">
        <x:f>'P&amp;L'!B$8</x:f>
        <x:v>56151.8816</x:v>
      </x:c>
      <x:c r="D14" s="73" t="n">
        <x:f>'P&amp;L'!C$8</x:f>
        <x:v>61683.350000000006</x:v>
      </x:c>
      <x:c r="E14" s="73" t="n">
        <x:f>'P&amp;L'!D$8</x:f>
        <x:v>66328.7504</x:v>
      </x:c>
      <x:c r="F14" s="73" t="n">
        <x:f>'P&amp;L'!E$8</x:f>
        <x:v>68615.34740000001</x:v>
      </x:c>
      <x:c r="G14" s="73" t="n">
        <x:f>'P&amp;L'!F$8</x:f>
        <x:v>72084.049124</x:v>
      </x:c>
      <x:c r="H14" s="70"/>
    </x:row>
    <x:row r="15">
      <x:c r="A15" s="70"/>
      <x:c r="B15" s="75" t="str">
        <x:v>Operating result</x:v>
      </x:c>
      <x:c r="C15" s="76" t="n">
        <x:f>'P&amp;L'!B$9</x:f>
        <x:v>7620.918400000002</x:v>
      </x:c>
      <x:c r="D15" s="76" t="n">
        <x:f>'P&amp;L'!C$9</x:f>
        <x:v>23726.649999999994</x:v>
      </x:c>
      <x:c r="E15" s="76" t="n">
        <x:f>'P&amp;L'!D$9</x:f>
        <x:v>35707.72959999999</x:v>
      </x:c>
      <x:c r="F15" s="76" t="n">
        <x:f>'P&amp;L'!E$9</x:f>
        <x:v>40136.548599999995</x:v>
      </x:c>
      <x:c r="G15" s="76" t="n">
        <x:f>'P&amp;L'!F$9</x:f>
        <x:v>43626.790875999985</x:v>
      </x:c>
      <x:c r="H15" s="70"/>
    </x:row>
    <x:row r="16">
      <x:c r="A16" s="70"/>
      <x:c r="B16" s="70" t="str">
        <x:v>Operating margin</x:v>
      </x:c>
      <x:c r="C16" s="74" t="n">
        <x:f>'P&amp;L'!B$10</x:f>
        <x:v>0.11950107882984598</x:v>
      </x:c>
      <x:c r="D16" s="74" t="n">
        <x:f>'P&amp;L'!C$10</x:f>
        <x:v>0.2777970963587401</x:v>
      </x:c>
      <x:c r="E16" s="74" t="n">
        <x:f>'P&amp;L'!D$10</x:f>
        <x:v>0.34995062158161466</x:v>
      </x:c>
      <x:c r="F16" s="74" t="n">
        <x:f>'P&amp;L'!E$10</x:f>
        <x:v>0.3690652768021625</x:v>
      </x:c>
      <x:c r="G16" s="74" t="n">
        <x:f>'P&amp;L'!F$10</x:f>
        <x:v>0.3770328767468976</x:v>
      </x:c>
      <x:c r="H16" s="70"/>
    </x:row>
    <x:row r="17">
      <x:c r="A17" s="70"/>
      <x:c r="B17" s="70" t="str">
        <x:v>Illustrative distribution</x:v>
      </x:c>
      <x:c r="C17" s="73" t="n">
        <x:f>'Cash Flow'!B$10</x:f>
        <x:v>0</x:v>
      </x:c>
      <x:c r="D17" s="73" t="n">
        <x:f>'Cash Flow'!C$10</x:f>
        <x:v>11161.140899999997</x:v>
      </x:c>
      <x:c r="E17" s="73" t="n">
        <x:f>'Cash Flow'!D$10</x:f>
        <x:v>17353.654281599993</x:v>
      </x:c>
      <x:c r="F17" s="73" t="n">
        <x:f>'Cash Flow'!E$10</x:f>
        <x:v>19630.765719599996</x:v>
      </x:c>
      <x:c r="G17" s="73" t="n">
        <x:f>'Cash Flow'!F$10</x:f>
        <x:v>21390.30017829599</x:v>
      </x:c>
      <x:c r="H17" s="70"/>
    </x:row>
    <x:row r="18">
      <x:c r="A18" s="70"/>
      <x:c r="B18" s="70"/>
      <x:c r="C18" s="70"/>
      <x:c r="D18" s="70"/>
      <x:c r="E18" s="70"/>
      <x:c r="F18" s="70"/>
      <x:c r="G18" s="70"/>
      <x:c r="H18" s="70"/>
    </x:row>
    <x:row r="19">
      <x:c r="A19" s="70"/>
      <x:c r="B19" s="70"/>
      <x:c r="C19" s="70"/>
      <x:c r="D19" s="70"/>
      <x:c r="E19" s="70"/>
      <x:c r="F19" s="70"/>
      <x:c r="G19" s="70"/>
      <x:c r="H19" s="70"/>
    </x:row>
    <x:row r="20">
      <x:c r="A20" s="70"/>
      <x:c r="B20" s="71" t="str">
        <x:v>HOW TO USE THIS MODEL</x:v>
      </x:c>
      <x:c r="C20" s="71" t="str">
        <x:v>HOW TO USE THIS MODEL</x:v>
      </x:c>
      <x:c r="D20" s="71" t="str">
        <x:v>HOW TO USE THIS MODEL</x:v>
      </x:c>
      <x:c r="E20" s="71" t="str">
        <x:v>HOW TO USE THIS MODEL</x:v>
      </x:c>
      <x:c r="F20" s="71" t="str">
        <x:v>HOW TO USE THIS MODEL</x:v>
      </x:c>
      <x:c r="G20" s="71" t="str">
        <x:v>HOW TO USE THIS MODEL</x:v>
      </x:c>
      <x:c r="H20" s="70"/>
    </x:row>
    <x:row r="21">
      <x:c r="A21" s="70"/>
      <x:c r="B21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C21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D21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E21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F21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G21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H21" s="70"/>
    </x:row>
    <x:row r="22">
      <x:c r="A22" s="70"/>
      <x:c r="B22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C22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D22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E22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F22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G22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H22" s="70"/>
    </x:row>
    <x:row r="23">
      <x:c r="A23" s="70"/>
      <x:c r="B23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C23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D23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E23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F23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G23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H23" s="70"/>
    </x:row>
    <x:row r="24">
      <x:c r="A24" s="70"/>
      <x:c r="B24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C24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D24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E24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F24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G24" s="77" t="str">
        <x:v>Change only the yellow, blue-font inputs on the Assumptions and Capex sheets. All revenue, cost, profit, cash-flow and sensitivity schedules update from those cells. The model is intended for discussion and due diligence; it is not a forecast, offer, guarantee or substitute for Indonesian and Dutch legal, tax, architectural or construction advice.</x:v>
      </x:c>
      <x:c r="H24" s="70"/>
    </x:row>
    <x:row r="25">
      <x:c r="A25" s="70"/>
      <x:c r="B25" s="70"/>
      <x:c r="C25" s="70"/>
      <x:c r="D25" s="70"/>
      <x:c r="E25" s="70"/>
      <x:c r="F25" s="70"/>
      <x:c r="G25" s="70"/>
      <x:c r="H25" s="70"/>
    </x:row>
    <x:row r="26">
      <x:c r="A26" s="70"/>
      <x:c r="B26" s="70" t="str">
        <x:v>Model status</x:v>
      </x:c>
      <x:c r="C26" s="72" t="str">
        <x:f>'Checks'!B14</x:f>
        <x:v>PASS</x:v>
      </x:c>
      <x:c r="D26" s="70"/>
      <x:c r="E26" s="70"/>
      <x:c r="F26" s="70"/>
      <x:c r="G26" s="70"/>
      <x:c r="H26" s="70"/>
    </x:row>
    <x:row r="27">
      <x:c r="A27" s="70"/>
      <x:c r="B27" s="70" t="str">
        <x:v>Checks</x:v>
      </x:c>
      <x:c r="C27" s="70"/>
      <x:c r="D27" s="70"/>
      <x:c r="E27" s="70"/>
      <x:c r="F27" s="70"/>
      <x:c r="G27" s="70"/>
      <x:c r="H27" s="70"/>
    </x:row>
  </x:sheetData>
  <x:mergeCells>
    <x:mergeCell ref="A1:H1"/>
    <x:mergeCell ref="A2:H2"/>
    <x:mergeCell ref="B4:G4"/>
    <x:mergeCell ref="B10:G10"/>
    <x:mergeCell ref="B20:G20"/>
    <x:mergeCell ref="B21:G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5" hidden="0" customWidth="1"/>
    <x:col min="3" max="3" width="17" hidden="0" customWidth="1"/>
    <x:col min="4" max="4" width="16" hidden="0" customWidth="1"/>
    <x:col min="5" max="5" width="4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111" t="str">
        <x:v>SALAMINA - MODEL ASSUMPTIONS</x:v>
      </x:c>
      <x:c r="B1" s="111" t="str">
        <x:v>SALAMINA - MODEL ASSUMPTIONS</x:v>
      </x:c>
      <x:c r="C1" s="111" t="str">
        <x:v>SALAMINA - MODEL ASSUMPTIONS</x:v>
      </x:c>
      <x:c r="D1" s="111" t="str">
        <x:v>SALAMINA - MODEL ASSUMPTIONS</x:v>
      </x:c>
      <x:c r="E1" s="111" t="str">
        <x:v>SALAMINA - MODEL ASSUMPTIONS</x:v>
      </x:c>
      <x:c r="F1" s="111" t="str">
        <x:v>SALAMINA - MODEL ASSUMPTIONS</x:v>
      </x:c>
      <x:c r="G1" s="111" t="str">
        <x:v>SALAMINA - MODEL ASSUMPTIONS</x:v>
      </x:c>
      <x:c r="H1" s="111" t="str">
        <x:v>SALAMINA - MODEL ASSUMPTIONS</x:v>
      </x:c>
    </x:row>
    <x:row r="2" ht="30" customHeight="1">
      <x:c r="A2" s="69" t="str">
        <x:v>Editable blue-font cells drive every schedule. Base case is illustrative and preliminary.</x:v>
      </x:c>
      <x:c r="B2" s="69" t="str">
        <x:v>Editable blue-font cells drive every schedule. Base case is illustrative and preliminary.</x:v>
      </x:c>
      <x:c r="C2" s="69" t="str">
        <x:v>Editable blue-font cells drive every schedule. Base case is illustrative and preliminary.</x:v>
      </x:c>
      <x:c r="D2" s="69" t="str">
        <x:v>Editable blue-font cells drive every schedule. Base case is illustrative and preliminary.</x:v>
      </x:c>
      <x:c r="E2" s="69" t="str">
        <x:v>Editable blue-font cells drive every schedule. Base case is illustrative and preliminary.</x:v>
      </x:c>
      <x:c r="F2" s="69" t="str">
        <x:v>Editable blue-font cells drive every schedule. Base case is illustrative and preliminary.</x:v>
      </x:c>
      <x:c r="G2" s="69" t="str">
        <x:v>Editable blue-font cells drive every schedule. Base case is illustrative and preliminary.</x:v>
      </x:c>
      <x:c r="H2" s="69" t="str">
        <x:v>Editable blue-font cells drive every schedule. Base case is illustrative and preliminary.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70"/>
      <x:c r="B4" s="71" t="str">
        <x:v>PROJECT &amp; TIMING</x:v>
      </x:c>
      <x:c r="C4" s="71" t="str">
        <x:v>PROJECT &amp; TIMING</x:v>
      </x:c>
      <x:c r="D4" s="71" t="str">
        <x:v>PROJECT &amp; TIMING</x:v>
      </x:c>
      <x:c r="E4" s="71" t="str">
        <x:v>PROJECT &amp; TIMING</x:v>
      </x:c>
      <x:c r="F4" s="71" t="str">
        <x:v>PROJECT &amp; TIMING</x:v>
      </x:c>
      <x:c r="G4" s="71" t="str">
        <x:v>PROJECT &amp; TIMING</x:v>
      </x:c>
      <x:c r="H4" s="71" t="str">
        <x:v>PROJECT &amp; TIMING</x:v>
      </x:c>
    </x:row>
    <x:row r="5">
      <x:c r="A5" s="70"/>
      <x:c r="B5" s="72" t="str">
        <x:v>Assumption</x:v>
      </x:c>
      <x:c r="C5" s="72" t="str">
        <x:v>Base case</x:v>
      </x:c>
      <x:c r="D5" s="72" t="str">
        <x:v>Unit</x:v>
      </x:c>
      <x:c r="E5" s="72" t="str">
        <x:v>Notes</x:v>
      </x:c>
      <x:c r="F5" s="70"/>
      <x:c r="G5" s="70"/>
      <x:c r="H5" s="70"/>
    </x:row>
    <x:row r="6">
      <x:c r="A6" s="70"/>
      <x:c r="B6" s="70" t="str">
        <x:v>Opening date</x:v>
      </x:c>
      <x:c r="C6" s="78" t="n">
        <x:v>46631</x:v>
      </x:c>
      <x:c r="D6" s="70" t="str">
        <x:v>date</x:v>
      </x:c>
      <x:c r="E6" s="70" t="str">
        <x:v>Intended opening; subject to build and permitting</x:v>
      </x:c>
      <x:c r="F6" s="70"/>
      <x:c r="G6" s="70"/>
      <x:c r="H6" s="70"/>
    </x:row>
    <x:row r="7">
      <x:c r="A7" s="70"/>
      <x:c r="B7" s="70" t="str">
        <x:v>Rooms</x:v>
      </x:c>
      <x:c r="C7" s="79" t="n">
        <x:v>12</x:v>
      </x:c>
      <x:c r="D7" s="70" t="str">
        <x:v>rooms</x:v>
      </x:c>
      <x:c r="E7" s="70" t="str">
        <x:v>Phase 1</x:v>
      </x:c>
      <x:c r="F7" s="70"/>
      <x:c r="G7" s="70"/>
      <x:c r="H7" s="70"/>
    </x:row>
    <x:row r="8">
      <x:c r="A8" s="70"/>
      <x:c r="B8" s="70" t="str">
        <x:v>Available nights per room</x:v>
      </x:c>
      <x:c r="C8" s="79" t="n">
        <x:v>365</x:v>
      </x:c>
      <x:c r="D8" s="70" t="str">
        <x:v>nights/year</x:v>
      </x:c>
      <x:c r="E8" s="70" t="str">
        <x:v>Full operating year</x:v>
      </x:c>
      <x:c r="F8" s="70"/>
      <x:c r="G8" s="70"/>
      <x:c r="H8" s="70"/>
    </x:row>
    <x:row r="9">
      <x:c r="A9" s="70"/>
      <x:c r="B9" s="70" t="str">
        <x:v>Site size</x:v>
      </x:c>
      <x:c r="C9" s="79" t="n">
        <x:v>1000</x:v>
      </x:c>
      <x:c r="D9" s="70" t="str">
        <x:v>m²</x:v>
      </x:c>
      <x:c r="E9" s="70" t="str">
        <x:v>10 are</x:v>
      </x:c>
      <x:c r="F9" s="70"/>
      <x:c r="G9" s="70"/>
      <x:c r="H9" s="70"/>
    </x:row>
    <x:row r="10">
      <x:c r="A10" s="70"/>
      <x:c r="B10" s="70" t="str">
        <x:v>Core staff</x:v>
      </x:c>
      <x:c r="C10" s="79" t="n">
        <x:v>4</x:v>
      </x:c>
      <x:c r="D10" s="70" t="str">
        <x:v>FTE</x:v>
      </x:c>
      <x:c r="E10" s="70" t="str">
        <x:v>Reception, operations and housekeeping</x:v>
      </x:c>
      <x:c r="F10" s="70"/>
      <x:c r="G10" s="70"/>
      <x:c r="H10" s="70"/>
    </x:row>
    <x:row r="11">
      <x:c r="A11" s="70"/>
      <x:c r="B11" s="70" t="str">
        <x:v>EUR/IDR planning rate</x:v>
      </x:c>
      <x:c r="C11" s="79" t="n">
        <x:v>20631</x:v>
      </x:c>
      <x:c r="D11" s="70" t="str">
        <x:v>IDR per EUR</x:v>
      </x:c>
      <x:c r="E11" s="70" t="str">
        <x:v>Indicative August 2026 planning rate</x:v>
      </x:c>
      <x:c r="F11" s="70"/>
      <x:c r="G11" s="70"/>
      <x:c r="H11" s="70"/>
    </x:row>
    <x:row r="12">
      <x:c r="A12" s="70"/>
      <x:c r="B12" s="70" t="str">
        <x:v>Model horizon</x:v>
      </x:c>
      <x:c r="C12" s="80" t="n">
        <x:v>5</x:v>
      </x:c>
      <x:c r="D12" s="70" t="str">
        <x:v>years</x:v>
      </x:c>
      <x:c r="E12" s="70" t="str">
        <x:v>Full operating years</x:v>
      </x:c>
      <x:c r="F12" s="70"/>
      <x:c r="G12" s="70"/>
      <x:c r="H12" s="70"/>
    </x:row>
    <x:row r="13">
      <x:c r="A13" s="70"/>
      <x:c r="B13" s="70"/>
      <x:c r="C13" s="70"/>
      <x:c r="D13" s="70"/>
      <x:c r="E13" s="70"/>
      <x:c r="F13" s="70"/>
      <x:c r="G13" s="70"/>
      <x:c r="H13" s="70"/>
    </x:row>
    <x:row r="14">
      <x:c r="A14" s="70"/>
      <x:c r="B14" s="71" t="str">
        <x:v>OPERATING DRIVERS BY YEAR</x:v>
      </x:c>
      <x:c r="C14" s="71" t="str">
        <x:v>OPERATING DRIVERS BY YEAR</x:v>
      </x:c>
      <x:c r="D14" s="71" t="str">
        <x:v>OPERATING DRIVERS BY YEAR</x:v>
      </x:c>
      <x:c r="E14" s="71" t="str">
        <x:v>OPERATING DRIVERS BY YEAR</x:v>
      </x:c>
      <x:c r="F14" s="71" t="str">
        <x:v>OPERATING DRIVERS BY YEAR</x:v>
      </x:c>
      <x:c r="G14" s="71" t="str">
        <x:v>OPERATING DRIVERS BY YEAR</x:v>
      </x:c>
      <x:c r="H14" s="71" t="str">
        <x:v>OPERATING DRIVERS BY YEAR</x:v>
      </x:c>
    </x:row>
    <x:row r="15">
      <x:c r="A15" s="70"/>
      <x:c r="B15" s="72" t="str">
        <x:v>Driver</x:v>
      </x:c>
      <x:c r="C15" s="72" t="str">
        <x:v>Year 1</x:v>
      </x:c>
      <x:c r="D15" s="72" t="str">
        <x:v>Year 2</x:v>
      </x:c>
      <x:c r="E15" s="72" t="str">
        <x:v>Year 3</x:v>
      </x:c>
      <x:c r="F15" s="72" t="str">
        <x:v>Year 4</x:v>
      </x:c>
      <x:c r="G15" s="72" t="str">
        <x:v>Year 5</x:v>
      </x:c>
      <x:c r="H15" s="72" t="str">
        <x:v>Unit</x:v>
      </x:c>
    </x:row>
    <x:row r="16">
      <x:c r="A16" s="70"/>
      <x:c r="B16" s="70" t="str">
        <x:v>Occupancy</x:v>
      </x:c>
      <x:c r="C16" s="81" t="n">
        <x:v>0.5</x:v>
      </x:c>
      <x:c r="D16" s="82" t="n">
        <x:v>0.625</x:v>
      </x:c>
      <x:c r="E16" s="82" t="n">
        <x:v>0.7</x:v>
      </x:c>
      <x:c r="F16" s="82" t="n">
        <x:v>0.72</x:v>
      </x:c>
      <x:c r="G16" s="83" t="n">
        <x:v>0.74</x:v>
      </x:c>
      <x:c r="H16" s="70" t="str">
        <x:v>rooms sold / available</x:v>
      </x:c>
    </x:row>
    <x:row r="17">
      <x:c r="A17" s="70"/>
      <x:c r="B17" s="70" t="str">
        <x:v>Blended ADR</x:v>
      </x:c>
      <x:c r="C17" s="84" t="n">
        <x:v>28</x:v>
      </x:c>
      <x:c r="D17" s="85" t="n">
        <x:v>30</x:v>
      </x:c>
      <x:c r="E17" s="85" t="n">
        <x:v>32</x:v>
      </x:c>
      <x:c r="F17" s="85" t="n">
        <x:v>33</x:v>
      </x:c>
      <x:c r="G17" s="86" t="n">
        <x:v>34</x:v>
      </x:c>
      <x:c r="H17" s="70" t="str">
        <x:v>EUR / occupied night</x:v>
      </x:c>
    </x:row>
    <x:row r="18">
      <x:c r="A18" s="70"/>
      <x:c r="B18" s="70" t="str">
        <x:v>Ancillary revenue</x:v>
      </x:c>
      <x:c r="C18" s="87" t="n">
        <x:v>0.04</x:v>
      </x:c>
      <x:c r="D18" s="88" t="n">
        <x:v>0.04</x:v>
      </x:c>
      <x:c r="E18" s="88" t="n">
        <x:v>0.04</x:v>
      </x:c>
      <x:c r="F18" s="88" t="n">
        <x:v>0.045</x:v>
      </x:c>
      <x:c r="G18" s="89" t="n">
        <x:v>0.05</x:v>
      </x:c>
      <x:c r="H18" s="70" t="str">
        <x:v>% of room revenue</x:v>
      </x:c>
    </x:row>
    <x:row r="19">
      <x:c r="A19" s="70"/>
      <x:c r="B19" s="70" t="str">
        <x:v>OTA &amp; payment fees</x:v>
      </x:c>
      <x:c r="C19" s="87" t="n">
        <x:v>0.087</x:v>
      </x:c>
      <x:c r="D19" s="88" t="n">
        <x:v>0.075</x:v>
      </x:c>
      <x:c r="E19" s="88" t="n">
        <x:v>0.07</x:v>
      </x:c>
      <x:c r="F19" s="88" t="n">
        <x:v>0.065</x:v>
      </x:c>
      <x:c r="G19" s="89" t="n">
        <x:v>0.065</x:v>
      </x:c>
      <x:c r="H19" s="70" t="str">
        <x:v>% of total revenue</x:v>
      </x:c>
    </x:row>
    <x:row r="20">
      <x:c r="A20" s="70"/>
      <x:c r="B20" s="70" t="str">
        <x:v>Utilities</x:v>
      </x:c>
      <x:c r="C20" s="87" t="n">
        <x:v>0.08</x:v>
      </x:c>
      <x:c r="D20" s="88" t="n">
        <x:v>0.08</x:v>
      </x:c>
      <x:c r="E20" s="88" t="n">
        <x:v>0.075</x:v>
      </x:c>
      <x:c r="F20" s="88" t="n">
        <x:v>0.075</x:v>
      </x:c>
      <x:c r="G20" s="89" t="n">
        <x:v>0.075</x:v>
      </x:c>
      <x:c r="H20" s="70" t="str">
        <x:v>% of total revenue</x:v>
      </x:c>
    </x:row>
    <x:row r="21">
      <x:c r="A21" s="70"/>
      <x:c r="B21" s="70" t="str">
        <x:v>Cleaning &amp; guest supplies</x:v>
      </x:c>
      <x:c r="C21" s="87" t="n">
        <x:v>0.05</x:v>
      </x:c>
      <x:c r="D21" s="88" t="n">
        <x:v>0.05</x:v>
      </x:c>
      <x:c r="E21" s="88" t="n">
        <x:v>0.05</x:v>
      </x:c>
      <x:c r="F21" s="88" t="n">
        <x:v>0.05</x:v>
      </x:c>
      <x:c r="G21" s="89" t="n">
        <x:v>0.05</x:v>
      </x:c>
      <x:c r="H21" s="70" t="str">
        <x:v>% of total revenue</x:v>
      </x:c>
    </x:row>
    <x:row r="22">
      <x:c r="A22" s="70"/>
      <x:c r="B22" s="70" t="str">
        <x:v>Repairs &amp; maintenance</x:v>
      </x:c>
      <x:c r="C22" s="90" t="n">
        <x:v>0.03</x:v>
      </x:c>
      <x:c r="D22" s="91" t="n">
        <x:v>0.03</x:v>
      </x:c>
      <x:c r="E22" s="91" t="n">
        <x:v>0.035</x:v>
      </x:c>
      <x:c r="F22" s="91" t="n">
        <x:v>0.035</x:v>
      </x:c>
      <x:c r="G22" s="92" t="n">
        <x:v>0.04</x:v>
      </x:c>
      <x:c r="H22" s="70" t="str">
        <x:v>% of total revenue</x:v>
      </x:c>
    </x:row>
    <x:row r="23">
      <x:c r="A23" s="70"/>
      <x:c r="B23" s="70"/>
      <x:c r="C23" s="70"/>
      <x:c r="D23" s="70"/>
      <x:c r="E23" s="70"/>
      <x:c r="F23" s="70"/>
      <x:c r="G23" s="70"/>
      <x:c r="H23" s="70"/>
    </x:row>
    <x:row r="24">
      <x:c r="A24" s="70"/>
      <x:c r="B24" s="71" t="str">
        <x:v>FIXED COST &amp; CASH FLOW ASSUMPTIONS</x:v>
      </x:c>
      <x:c r="C24" s="71" t="str">
        <x:v>FIXED COST &amp; CASH FLOW ASSUMPTIONS</x:v>
      </x:c>
      <x:c r="D24" s="71" t="str">
        <x:v>FIXED COST &amp; CASH FLOW ASSUMPTIONS</x:v>
      </x:c>
      <x:c r="E24" s="71" t="str">
        <x:v>FIXED COST &amp; CASH FLOW ASSUMPTIONS</x:v>
      </x:c>
      <x:c r="F24" s="71" t="str">
        <x:v>FIXED COST &amp; CASH FLOW ASSUMPTIONS</x:v>
      </x:c>
      <x:c r="G24" s="71" t="str">
        <x:v>FIXED COST &amp; CASH FLOW ASSUMPTIONS</x:v>
      </x:c>
      <x:c r="H24" s="71" t="str">
        <x:v>FIXED COST &amp; CASH FLOW ASSUMPTIONS</x:v>
      </x:c>
    </x:row>
    <x:row r="25">
      <x:c r="A25" s="70"/>
      <x:c r="B25" s="72" t="str">
        <x:v>Assumption</x:v>
      </x:c>
      <x:c r="C25" s="72" t="str">
        <x:v>Base case</x:v>
      </x:c>
      <x:c r="D25" s="72" t="str">
        <x:v>Unit</x:v>
      </x:c>
      <x:c r="E25" s="72" t="str">
        <x:v>Notes</x:v>
      </x:c>
      <x:c r="F25" s="70"/>
      <x:c r="G25" s="70"/>
      <x:c r="H25" s="70"/>
    </x:row>
    <x:row r="26">
      <x:c r="A26" s="70"/>
      <x:c r="B26" s="70" t="str">
        <x:v>Average monthly staff cost per FTE</x:v>
      </x:c>
      <x:c r="C26" s="93" t="n">
        <x:v>300</x:v>
      </x:c>
      <x:c r="D26" s="70" t="str">
        <x:v>EUR / month</x:v>
      </x:c>
      <x:c r="E26" s="70" t="str">
        <x:v>Planning assumption incl. employer costs; validate locally</x:v>
      </x:c>
      <x:c r="F26" s="70"/>
      <x:c r="G26" s="70"/>
      <x:c r="H26" s="70"/>
    </x:row>
    <x:row r="27">
      <x:c r="A27" s="70"/>
      <x:c r="B27" s="70" t="str">
        <x:v>Management &amp; other fixed operations</x:v>
      </x:c>
      <x:c r="C27" s="94" t="n">
        <x:v>18000</x:v>
      </x:c>
      <x:c r="D27" s="70" t="str">
        <x:v>EUR / year</x:v>
      </x:c>
      <x:c r="E27" s="70" t="str">
        <x:v>€12k founder/GM allowance plus security, transport, software and local support</x:v>
      </x:c>
      <x:c r="F27" s="70"/>
      <x:c r="G27" s="70"/>
      <x:c r="H27" s="70"/>
    </x:row>
    <x:row r="28">
      <x:c r="A28" s="70"/>
      <x:c r="B28" s="70" t="str">
        <x:v>Insurance, admin &amp; professional</x:v>
      </x:c>
      <x:c r="C28" s="94" t="n">
        <x:v>4000</x:v>
      </x:c>
      <x:c r="D28" s="70" t="str">
        <x:v>EUR / year</x:v>
      </x:c>
      <x:c r="E28" s="70" t="str">
        <x:v>PMA, bookkeeping, tax, legal, licences and insurance allowance</x:v>
      </x:c>
      <x:c r="F28" s="70"/>
      <x:c r="G28" s="70"/>
      <x:c r="H28" s="70"/>
    </x:row>
    <x:row r="29">
      <x:c r="A29" s="70"/>
      <x:c r="B29" s="70" t="str">
        <x:v>Sales &amp; brand budget</x:v>
      </x:c>
      <x:c r="C29" s="94" t="n">
        <x:v>4000</x:v>
      </x:c>
      <x:c r="D29" s="70" t="str">
        <x:v>EUR / year</x:v>
      </x:c>
      <x:c r="E29" s="70" t="str">
        <x:v>Launch marketing, content, direct sales and partnerships</x:v>
      </x:c>
      <x:c r="F29" s="70"/>
      <x:c r="G29" s="70"/>
      <x:c r="H29" s="70"/>
    </x:row>
    <x:row r="30">
      <x:c r="A30" s="70"/>
      <x:c r="B30" s="70" t="str">
        <x:v>Fixed-cost inflation</x:v>
      </x:c>
      <x:c r="C30" s="95" t="n">
        <x:v>0.03</x:v>
      </x:c>
      <x:c r="D30" s="70" t="str">
        <x:v>% / year</x:v>
      </x:c>
      <x:c r="E30" s="70" t="str">
        <x:v>Applied after Year 1</x:v>
      </x:c>
      <x:c r="F30" s="70"/>
      <x:c r="G30" s="70"/>
      <x:c r="H30" s="70"/>
    </x:row>
    <x:row r="31">
      <x:c r="A31" s="70"/>
      <x:c r="B31" s="70" t="str">
        <x:v>Maintenance reserve</x:v>
      </x:c>
      <x:c r="C31" s="95" t="n">
        <x:v>0.03</x:v>
      </x:c>
      <x:c r="D31" s="70" t="str">
        <x:v>% of revenue</x:v>
      </x:c>
      <x:c r="E31" s="70" t="str">
        <x:v>Cash reserve, not operating expense</x:v>
      </x:c>
      <x:c r="F31" s="70"/>
      <x:c r="G31" s="70"/>
      <x:c r="H31" s="70"/>
    </x:row>
    <x:row r="32">
      <x:c r="A32" s="70"/>
      <x:c r="B32" s="70" t="str">
        <x:v>Working-capital reserve</x:v>
      </x:c>
      <x:c r="C32" s="94" t="n">
        <x:v>5000</x:v>
      </x:c>
      <x:c r="D32" s="70" t="str">
        <x:v>EUR</x:v>
      </x:c>
      <x:c r="E32" s="70" t="str">
        <x:v>Minimum target</x:v>
      </x:c>
      <x:c r="F32" s="70"/>
      <x:c r="G32" s="70"/>
      <x:c r="H32" s="70"/>
    </x:row>
    <x:row r="33">
      <x:c r="A33" s="70"/>
      <x:c r="B33" s="70" t="str">
        <x:v>Cash tax placeholder</x:v>
      </x:c>
      <x:c r="C33" s="95" t="n">
        <x:v>0.22</x:v>
      </x:c>
      <x:c r="D33" s="70" t="str">
        <x:v>% of pre-tax cash profit</x:v>
      </x:c>
      <x:c r="E33" s="70" t="str">
        <x:v>Standard Indonesian corporate-rate placeholder; confirm entity eligibility and local taxes</x:v>
      </x:c>
      <x:c r="F33" s="70"/>
      <x:c r="G33" s="70"/>
      <x:c r="H33" s="70"/>
    </x:row>
    <x:row r="34">
      <x:c r="A34" s="70"/>
      <x:c r="B34" s="70" t="str">
        <x:v>Distribution payout ratio</x:v>
      </x:c>
      <x:c r="C34" s="95" t="n">
        <x:v>0.7</x:v>
      </x:c>
      <x:c r="D34" s="70" t="str">
        <x:v>% of post-tax cash after reserve</x:v>
      </x:c>
      <x:c r="E34" s="70" t="str">
        <x:v>Illustrative policy only</x:v>
      </x:c>
      <x:c r="F34" s="70"/>
      <x:c r="G34" s="70"/>
      <x:c r="H34" s="70"/>
    </x:row>
    <x:row r="35">
      <x:c r="A35" s="70"/>
      <x:c r="B35" s="70" t="str">
        <x:v>Debt financing</x:v>
      </x:c>
      <x:c r="C35" s="96" t="n">
        <x:v>0</x:v>
      </x:c>
      <x:c r="D35" s="70" t="str">
        <x:v>EUR</x:v>
      </x:c>
      <x:c r="E35" s="70" t="str">
        <x:v>Base case assumes all-equity funding</x:v>
      </x:c>
      <x:c r="F35" s="70"/>
      <x:c r="G35" s="70"/>
      <x:c r="H35" s="70"/>
    </x:row>
  </x:sheetData>
  <x:mergeCells>
    <x:mergeCell ref="A1:H1"/>
    <x:mergeCell ref="A2:H2"/>
    <x:mergeCell ref="B4:H4"/>
    <x:mergeCell ref="B14:H14"/>
    <x:mergeCell ref="B24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8" hidden="0" customWidth="1"/>
  </x:cols>
  <x:sheetData>
    <x:row r="1" ht="34" customHeight="1">
      <x:c r="A1" s="111" t="str">
        <x:v>REVENUE MODEL</x:v>
      </x:c>
      <x:c r="B1" s="111" t="str">
        <x:v>REVENUE MODEL</x:v>
      </x:c>
      <x:c r="C1" s="111" t="str">
        <x:v>REVENUE MODEL</x:v>
      </x:c>
      <x:c r="D1" s="111" t="str">
        <x:v>REVENUE MODEL</x:v>
      </x:c>
      <x:c r="E1" s="111" t="str">
        <x:v>REVENUE MODEL</x:v>
      </x:c>
      <x:c r="F1" s="111" t="str">
        <x:v>REVENUE MODEL</x:v>
      </x:c>
      <x:c r="G1" s="111" t="str">
        <x:v>REVENUE MODEL</x:v>
      </x:c>
      <x:c r="H1" s="112"/>
    </x:row>
    <x:row r="2" ht="30" customHeight="1">
      <x:c r="A2" s="69" t="str">
        <x:v>Room-led revenue model; ancillary revenue is deliberately modest.</x:v>
      </x:c>
      <x:c r="B2" s="69" t="str">
        <x:v>Room-led revenue model; ancillary revenue is deliberately modest.</x:v>
      </x:c>
      <x:c r="C2" s="69" t="str">
        <x:v>Room-led revenue model; ancillary revenue is deliberately modest.</x:v>
      </x:c>
      <x:c r="D2" s="69" t="str">
        <x:v>Room-led revenue model; ancillary revenue is deliberately modest.</x:v>
      </x:c>
      <x:c r="E2" s="69" t="str">
        <x:v>Room-led revenue model; ancillary revenue is deliberately modest.</x:v>
      </x:c>
      <x:c r="F2" s="69" t="str">
        <x:v>Room-led revenue model; ancillary revenue is deliberately modest.</x:v>
      </x:c>
      <x:c r="G2" s="69" t="str">
        <x:v>Room-led revenue model; ancillary revenue is deliberately modest.</x:v>
      </x:c>
      <x:c r="H2" s="69" t="str">
        <x:v>Room-led revenue model; ancillary revenue is deliberately modest.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Metric</x:v>
      </x:c>
      <x:c r="B4" s="97" t="str">
        <x:v>Year 1</x:v>
      </x:c>
      <x:c r="C4" s="97" t="str">
        <x:v>Year 2</x:v>
      </x:c>
      <x:c r="D4" s="97" t="str">
        <x:v>Year 3</x:v>
      </x:c>
      <x:c r="E4" s="97" t="str">
        <x:v>Year 4</x:v>
      </x:c>
      <x:c r="F4" s="97" t="str">
        <x:v>Year 5</x:v>
      </x:c>
      <x:c r="G4" s="97" t="str">
        <x:v>Definition</x:v>
      </x:c>
      <x:c r="H4" s="70"/>
    </x:row>
    <x:row r="5">
      <x:c r="A5" s="70" t="str">
        <x:v>Rooms</x:v>
      </x:c>
      <x:c r="B5" s="70" t="n">
        <x:f>'Assumptions'!$C$7</x:f>
        <x:v>12</x:v>
      </x:c>
      <x:c r="C5" s="70" t="n">
        <x:f>'Assumptions'!$C$7</x:f>
        <x:v>12</x:v>
      </x:c>
      <x:c r="D5" s="70" t="n">
        <x:f>'Assumptions'!$C$7</x:f>
        <x:v>12</x:v>
      </x:c>
      <x:c r="E5" s="70" t="n">
        <x:f>'Assumptions'!$C$7</x:f>
        <x:v>12</x:v>
      </x:c>
      <x:c r="F5" s="70" t="n">
        <x:f>'Assumptions'!$C$7</x:f>
        <x:v>12</x:v>
      </x:c>
      <x:c r="G5" s="70" t="str">
        <x:v>Phase 1</x:v>
      </x:c>
      <x:c r="H5" s="70"/>
    </x:row>
    <x:row r="6">
      <x:c r="A6" s="70" t="str">
        <x:v>Available room nights</x:v>
      </x:c>
      <x:c r="B6" s="70" t="n">
        <x:f>B5*'Assumptions'!$C$8</x:f>
        <x:v>4380</x:v>
      </x:c>
      <x:c r="C6" s="70" t="n">
        <x:f>C5*'Assumptions'!$C$8</x:f>
        <x:v>4380</x:v>
      </x:c>
      <x:c r="D6" s="70" t="n">
        <x:f>D5*'Assumptions'!$C$8</x:f>
        <x:v>4380</x:v>
      </x:c>
      <x:c r="E6" s="70" t="n">
        <x:f>E5*'Assumptions'!$C$8</x:f>
        <x:v>4380</x:v>
      </x:c>
      <x:c r="F6" s="70" t="n">
        <x:f>F5*'Assumptions'!$C$8</x:f>
        <x:v>4380</x:v>
      </x:c>
      <x:c r="G6" s="70" t="str">
        <x:v>Rooms x 365</x:v>
      </x:c>
      <x:c r="H6" s="70"/>
    </x:row>
    <x:row r="7">
      <x:c r="A7" s="70" t="str">
        <x:v>Occupancy</x:v>
      </x:c>
      <x:c r="B7" s="74" t="n">
        <x:f>'Assumptions'!C$16</x:f>
        <x:v>0.5</x:v>
      </x:c>
      <x:c r="C7" s="74" t="n">
        <x:f>'Assumptions'!D$16</x:f>
        <x:v>0.625</x:v>
      </x:c>
      <x:c r="D7" s="74" t="n">
        <x:f>'Assumptions'!E$16</x:f>
        <x:v>0.7</x:v>
      </x:c>
      <x:c r="E7" s="74" t="n">
        <x:f>'Assumptions'!F$16</x:f>
        <x:v>0.72</x:v>
      </x:c>
      <x:c r="F7" s="74" t="n">
        <x:f>'Assumptions'!G$16</x:f>
        <x:v>0.74</x:v>
      </x:c>
      <x:c r="G7" s="70" t="str">
        <x:v>Base-case driver</x:v>
      </x:c>
      <x:c r="H7" s="70"/>
    </x:row>
    <x:row r="8">
      <x:c r="A8" s="70" t="str">
        <x:v>Occupied room nights</x:v>
      </x:c>
      <x:c r="B8" s="70" t="n">
        <x:f>B6*B7</x:f>
        <x:v>2190</x:v>
      </x:c>
      <x:c r="C8" s="70" t="n">
        <x:f>C6*C7</x:f>
        <x:v>2737.5</x:v>
      </x:c>
      <x:c r="D8" s="70" t="n">
        <x:f>D6*D7</x:f>
        <x:v>3066</x:v>
      </x:c>
      <x:c r="E8" s="70" t="n">
        <x:f>E6*E7</x:f>
        <x:v>3153.6</x:v>
      </x:c>
      <x:c r="F8" s="70" t="n">
        <x:f>F6*F7</x:f>
        <x:v>3241.2</x:v>
      </x:c>
      <x:c r="G8" s="70" t="str">
        <x:v>Available nights x occupancy</x:v>
      </x:c>
      <x:c r="H8" s="70"/>
    </x:row>
    <x:row r="9">
      <x:c r="A9" s="70" t="str">
        <x:v>Blended ADR</x:v>
      </x:c>
      <x:c r="B9" s="73" t="n">
        <x:f>'Assumptions'!C$17</x:f>
        <x:v>28</x:v>
      </x:c>
      <x:c r="C9" s="73" t="n">
        <x:f>'Assumptions'!D$17</x:f>
        <x:v>30</x:v>
      </x:c>
      <x:c r="D9" s="73" t="n">
        <x:f>'Assumptions'!E$17</x:f>
        <x:v>32</x:v>
      </x:c>
      <x:c r="E9" s="73" t="n">
        <x:f>'Assumptions'!F$17</x:f>
        <x:v>33</x:v>
      </x:c>
      <x:c r="F9" s="73" t="n">
        <x:f>'Assumptions'!G$17</x:f>
        <x:v>34</x:v>
      </x:c>
      <x:c r="G9" s="70" t="str">
        <x:v>Blended across stay lengths</x:v>
      </x:c>
      <x:c r="H9" s="70"/>
    </x:row>
    <x:row r="10">
      <x:c r="A10" s="70" t="str">
        <x:v>Room revenue</x:v>
      </x:c>
      <x:c r="B10" s="73" t="n">
        <x:f>B8*B9</x:f>
        <x:v>61320</x:v>
      </x:c>
      <x:c r="C10" s="73" t="n">
        <x:f>C8*C9</x:f>
        <x:v>82125</x:v>
      </x:c>
      <x:c r="D10" s="73" t="n">
        <x:f>D8*D9</x:f>
        <x:v>98112</x:v>
      </x:c>
      <x:c r="E10" s="73" t="n">
        <x:f>E8*E9</x:f>
        <x:v>104068.8</x:v>
      </x:c>
      <x:c r="F10" s="73" t="n">
        <x:f>F8*F9</x:f>
        <x:v>110200.79999999999</x:v>
      </x:c>
      <x:c r="G10" s="70" t="str">
        <x:v>Occupied nights x ADR</x:v>
      </x:c>
      <x:c r="H10" s="70"/>
    </x:row>
    <x:row r="11">
      <x:c r="A11" s="70" t="str">
        <x:v>Ancillary revenue</x:v>
      </x:c>
      <x:c r="B11" s="73" t="n">
        <x:f>B10*'Assumptions'!C$18</x:f>
        <x:v>2452.8</x:v>
      </x:c>
      <x:c r="C11" s="73" t="n">
        <x:f>C10*'Assumptions'!D$18</x:f>
        <x:v>3285</x:v>
      </x:c>
      <x:c r="D11" s="73" t="n">
        <x:f>D10*'Assumptions'!E$18</x:f>
        <x:v>3924.48</x:v>
      </x:c>
      <x:c r="E11" s="73" t="n">
        <x:f>E10*'Assumptions'!F$18</x:f>
        <x:v>4683.096</x:v>
      </x:c>
      <x:c r="F11" s="73" t="n">
        <x:f>F10*'Assumptions'!G$18</x:f>
        <x:v>5510.04</x:v>
      </x:c>
      <x:c r="G11" s="70" t="str">
        <x:v>Mini shop, laundry, transfers, coworking</x:v>
      </x:c>
      <x:c r="H11" s="70"/>
    </x:row>
    <x:row r="12">
      <x:c r="A12" s="75" t="str">
        <x:v>Total revenue</x:v>
      </x:c>
      <x:c r="B12" s="76" t="n">
        <x:f>SUM(B10:B11)</x:f>
        <x:v>63772.8</x:v>
      </x:c>
      <x:c r="C12" s="76" t="n">
        <x:f>SUM(C10:C11)</x:f>
        <x:v>85410</x:v>
      </x:c>
      <x:c r="D12" s="76" t="n">
        <x:f>SUM(D10:D11)</x:f>
        <x:v>102036.48</x:v>
      </x:c>
      <x:c r="E12" s="76" t="n">
        <x:f>SUM(E10:E11)</x:f>
        <x:v>108751.89600000001</x:v>
      </x:c>
      <x:c r="F12" s="76" t="n">
        <x:f>SUM(F10:F11)</x:f>
        <x:v>115710.83999999998</x:v>
      </x:c>
      <x:c r="G12" s="70" t="str">
        <x:v>Room + ancillary</x:v>
      </x:c>
      <x:c r="H12" s="70"/>
    </x:row>
    <x:row r="13">
      <x:c r="A13" s="70" t="str">
        <x:v>Revenue growth</x:v>
      </x:c>
      <x:c r="B13" s="74" t="n">
        <x:f>0</x:f>
        <x:v>0</x:v>
      </x:c>
      <x:c r="C13" s="74" t="n">
        <x:f>C12/B12-1</x:f>
        <x:v>0.3392857142857142</x:v>
      </x:c>
      <x:c r="D13" s="74" t="n">
        <x:f>D12/C12-1</x:f>
        <x:v>0.19466666666666654</x:v>
      </x:c>
      <x:c r="E13" s="74" t="n">
        <x:f>E12/D12-1</x:f>
        <x:v>0.06581387362637381</x:v>
      </x:c>
      <x:c r="F13" s="74" t="n">
        <x:f>F12/E12-1</x:f>
        <x:v>0.06398917403702065</x:v>
      </x:c>
      <x:c r="G13" s="70" t="str">
        <x:v>Year-on-year</x:v>
      </x:c>
      <x:c r="H13" s="70"/>
    </x:row>
  </x:sheetData>
  <x:mergeCells>
    <x:mergeCell ref="A1:G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4" hidden="0" customWidth="1"/>
  </x:cols>
  <x:sheetData>
    <x:row r="1" ht="34" customHeight="1">
      <x:c r="A1" s="111" t="str">
        <x:v>OPERATING COST MODEL</x:v>
      </x:c>
      <x:c r="B1" s="111" t="str">
        <x:v>OPERATING COST MODEL</x:v>
      </x:c>
      <x:c r="C1" s="111" t="str">
        <x:v>OPERATING COST MODEL</x:v>
      </x:c>
      <x:c r="D1" s="111" t="str">
        <x:v>OPERATING COST MODEL</x:v>
      </x:c>
      <x:c r="E1" s="111" t="str">
        <x:v>OPERATING COST MODEL</x:v>
      </x:c>
      <x:c r="F1" s="111" t="str">
        <x:v>OPERATING COST MODEL</x:v>
      </x:c>
      <x:c r="G1" s="111" t="str">
        <x:v>OPERATING COST MODEL</x:v>
      </x:c>
      <x:c r="H1" s="112"/>
    </x:row>
    <x:row r="2" ht="30" customHeight="1">
      <x:c r="A2" s="69" t="str">
        <x:v>Cash operating expenses before tax, capex, reserves and financing.</x:v>
      </x:c>
      <x:c r="B2" s="69" t="str">
        <x:v>Cash operating expenses before tax, capex, reserves and financing.</x:v>
      </x:c>
      <x:c r="C2" s="69" t="str">
        <x:v>Cash operating expenses before tax, capex, reserves and financing.</x:v>
      </x:c>
      <x:c r="D2" s="69" t="str">
        <x:v>Cash operating expenses before tax, capex, reserves and financing.</x:v>
      </x:c>
      <x:c r="E2" s="69" t="str">
        <x:v>Cash operating expenses before tax, capex, reserves and financing.</x:v>
      </x:c>
      <x:c r="F2" s="69" t="str">
        <x:v>Cash operating expenses before tax, capex, reserves and financing.</x:v>
      </x:c>
      <x:c r="G2" s="69" t="str">
        <x:v>Cash operating expenses before tax, capex, reserves and financing.</x:v>
      </x:c>
      <x:c r="H2" s="69" t="str">
        <x:v>Cash operating expenses before tax, capex, reserves and financing.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Cost line</x:v>
      </x:c>
      <x:c r="B4" s="97" t="str">
        <x:v>Year 1</x:v>
      </x:c>
      <x:c r="C4" s="97" t="str">
        <x:v>Year 2</x:v>
      </x:c>
      <x:c r="D4" s="97" t="str">
        <x:v>Year 3</x:v>
      </x:c>
      <x:c r="E4" s="97" t="str">
        <x:v>Year 4</x:v>
      </x:c>
      <x:c r="F4" s="97" t="str">
        <x:v>Year 5</x:v>
      </x:c>
      <x:c r="G4" s="97" t="str">
        <x:v>Driver</x:v>
      </x:c>
      <x:c r="H4" s="70"/>
    </x:row>
    <x:row r="5">
      <x:c r="A5" s="70" t="str">
        <x:v>Payroll</x:v>
      </x:c>
      <x:c r="B5" s="73" t="n">
        <x:f>'Assumptions'!$C$10*'Assumptions'!$C$26*12*1</x:f>
        <x:v>14400</x:v>
      </x:c>
      <x:c r="C5" s="73" t="n">
        <x:f>'Assumptions'!$C$10*'Assumptions'!$C$26*12*(1+'Assumptions'!$C$30)^1</x:f>
        <x:v>14832</x:v>
      </x:c>
      <x:c r="D5" s="73" t="n">
        <x:f>'Assumptions'!$C$10*'Assumptions'!$C$26*12*(1+'Assumptions'!$C$30)^2</x:f>
        <x:v>15276.96</x:v>
      </x:c>
      <x:c r="E5" s="73" t="n">
        <x:f>'Assumptions'!$C$10*'Assumptions'!$C$26*12*(1+'Assumptions'!$C$30)^3</x:f>
        <x:v>15735.2688</x:v>
      </x:c>
      <x:c r="F5" s="73" t="n">
        <x:f>'Assumptions'!$C$10*'Assumptions'!$C$26*12*(1+'Assumptions'!$C$30)^4</x:f>
        <x:v>16207.326864000002</x:v>
      </x:c>
      <x:c r="G5" s="70" t="str">
        <x:v>4 FTE x monthly cost</x:v>
      </x:c>
      <x:c r="H5" s="70"/>
    </x:row>
    <x:row r="6">
      <x:c r="A6" s="70" t="str">
        <x:v>Management &amp; other fixed operations</x:v>
      </x:c>
      <x:c r="B6" s="73" t="n">
        <x:f>'Assumptions'!$C$27*1</x:f>
        <x:v>18000</x:v>
      </x:c>
      <x:c r="C6" s="73" t="n">
        <x:f>'Assumptions'!$C$27*(1+'Assumptions'!$C$30)^1</x:f>
        <x:v>18540</x:v>
      </x:c>
      <x:c r="D6" s="73" t="n">
        <x:f>'Assumptions'!$C$27*(1+'Assumptions'!$C$30)^2</x:f>
        <x:v>19096.2</x:v>
      </x:c>
      <x:c r="E6" s="73" t="n">
        <x:f>'Assumptions'!$C$27*(1+'Assumptions'!$C$30)^3</x:f>
        <x:v>19669.086</x:v>
      </x:c>
      <x:c r="F6" s="73" t="n">
        <x:f>'Assumptions'!$C$27*(1+'Assumptions'!$C$30)^4</x:f>
        <x:v>20259.158580000003</x:v>
      </x:c>
      <x:c r="G6" s="70" t="str">
        <x:v>Annual fixed assumption</x:v>
      </x:c>
      <x:c r="H6" s="70"/>
    </x:row>
    <x:row r="7">
      <x:c r="A7" s="70" t="str">
        <x:v>Insurance, admin &amp; professional</x:v>
      </x:c>
      <x:c r="B7" s="73" t="n">
        <x:f>'Assumptions'!$C$28*1</x:f>
        <x:v>4000</x:v>
      </x:c>
      <x:c r="C7" s="73" t="n">
        <x:f>'Assumptions'!$C$28*(1+'Assumptions'!$C$30)^1</x:f>
        <x:v>4120</x:v>
      </x:c>
      <x:c r="D7" s="73" t="n">
        <x:f>'Assumptions'!$C$28*(1+'Assumptions'!$C$30)^2</x:f>
        <x:v>4243.599999999999</x:v>
      </x:c>
      <x:c r="E7" s="73" t="n">
        <x:f>'Assumptions'!$C$28*(1+'Assumptions'!$C$30)^3</x:f>
        <x:v>4370.908</x:v>
      </x:c>
      <x:c r="F7" s="73" t="n">
        <x:f>'Assumptions'!$C$28*(1+'Assumptions'!$C$30)^4</x:f>
        <x:v>4502.03524</x:v>
      </x:c>
      <x:c r="G7" s="70" t="str">
        <x:v>Annual fixed assumption</x:v>
      </x:c>
      <x:c r="H7" s="70"/>
    </x:row>
    <x:row r="8">
      <x:c r="A8" s="70" t="str">
        <x:v>Sales &amp; brand</x:v>
      </x:c>
      <x:c r="B8" s="73" t="n">
        <x:f>'Assumptions'!$C$29*1</x:f>
        <x:v>4000</x:v>
      </x:c>
      <x:c r="C8" s="73" t="n">
        <x:f>'Assumptions'!$C$29*(1+'Assumptions'!$C$30)^1</x:f>
        <x:v>4120</x:v>
      </x:c>
      <x:c r="D8" s="73" t="n">
        <x:f>'Assumptions'!$C$29*(1+'Assumptions'!$C$30)^2</x:f>
        <x:v>4243.599999999999</x:v>
      </x:c>
      <x:c r="E8" s="73" t="n">
        <x:f>'Assumptions'!$C$29*(1+'Assumptions'!$C$30)^3</x:f>
        <x:v>4370.908</x:v>
      </x:c>
      <x:c r="F8" s="73" t="n">
        <x:f>'Assumptions'!$C$29*(1+'Assumptions'!$C$30)^4</x:f>
        <x:v>4502.03524</x:v>
      </x:c>
      <x:c r="G8" s="70" t="str">
        <x:v>Annual fixed assumption</x:v>
      </x:c>
      <x:c r="H8" s="70"/>
    </x:row>
    <x:row r="9">
      <x:c r="A9" s="70" t="str">
        <x:v>OTA &amp; payment fees</x:v>
      </x:c>
      <x:c r="B9" s="73" t="n">
        <x:f>'Revenue Model'!B$12*'Assumptions'!C$19</x:f>
        <x:v>5548.2336</x:v>
      </x:c>
      <x:c r="C9" s="73" t="n">
        <x:f>'Revenue Model'!C$12*'Assumptions'!D$19</x:f>
        <x:v>6405.75</x:v>
      </x:c>
      <x:c r="D9" s="73" t="n">
        <x:f>'Revenue Model'!D$12*'Assumptions'!E$19</x:f>
        <x:v>7142.5536</x:v>
      </x:c>
      <x:c r="E9" s="73" t="n">
        <x:f>'Revenue Model'!E$12*'Assumptions'!F$19</x:f>
        <x:v>7068.873240000001</x:v>
      </x:c>
      <x:c r="F9" s="73" t="n">
        <x:f>'Revenue Model'!F$12*'Assumptions'!G$19</x:f>
        <x:v>7521.204599999999</x:v>
      </x:c>
      <x:c r="G9" s="70" t="str">
        <x:v>% of revenue</x:v>
      </x:c>
      <x:c r="H9" s="70"/>
    </x:row>
    <x:row r="10">
      <x:c r="A10" s="70" t="str">
        <x:v>Utilities</x:v>
      </x:c>
      <x:c r="B10" s="73" t="n">
        <x:f>'Revenue Model'!B$12*'Assumptions'!C$20</x:f>
        <x:v>5101.8240000000005</x:v>
      </x:c>
      <x:c r="C10" s="73" t="n">
        <x:f>'Revenue Model'!C$12*'Assumptions'!D$20</x:f>
        <x:v>6832.8</x:v>
      </x:c>
      <x:c r="D10" s="73" t="n">
        <x:f>'Revenue Model'!D$12*'Assumptions'!E$20</x:f>
        <x:v>7652.735999999999</x:v>
      </x:c>
      <x:c r="E10" s="73" t="n">
        <x:f>'Revenue Model'!E$12*'Assumptions'!F$20</x:f>
        <x:v>8156.3922</x:v>
      </x:c>
      <x:c r="F10" s="73" t="n">
        <x:f>'Revenue Model'!F$12*'Assumptions'!G$20</x:f>
        <x:v>8678.312999999998</x:v>
      </x:c>
      <x:c r="G10" s="70" t="str">
        <x:v>% of revenue</x:v>
      </x:c>
      <x:c r="H10" s="70"/>
    </x:row>
    <x:row r="11">
      <x:c r="A11" s="70" t="str">
        <x:v>Cleaning &amp; guest supplies</x:v>
      </x:c>
      <x:c r="B11" s="73" t="n">
        <x:f>'Revenue Model'!B$12*'Assumptions'!C$21</x:f>
        <x:v>3188.6400000000003</x:v>
      </x:c>
      <x:c r="C11" s="73" t="n">
        <x:f>'Revenue Model'!C$12*'Assumptions'!D$21</x:f>
        <x:v>4270.5</x:v>
      </x:c>
      <x:c r="D11" s="73" t="n">
        <x:f>'Revenue Model'!D$12*'Assumptions'!E$21</x:f>
        <x:v>5101.8240000000005</x:v>
      </x:c>
      <x:c r="E11" s="73" t="n">
        <x:f>'Revenue Model'!E$12*'Assumptions'!F$21</x:f>
        <x:v>5437.594800000001</x:v>
      </x:c>
      <x:c r="F11" s="73" t="n">
        <x:f>'Revenue Model'!F$12*'Assumptions'!G$21</x:f>
        <x:v>5785.5419999999995</x:v>
      </x:c>
      <x:c r="G11" s="70" t="str">
        <x:v>% of revenue</x:v>
      </x:c>
      <x:c r="H11" s="70"/>
    </x:row>
    <x:row r="12">
      <x:c r="A12" s="70" t="str">
        <x:v>Repairs &amp; maintenance</x:v>
      </x:c>
      <x:c r="B12" s="73" t="n">
        <x:f>'Revenue Model'!B$12*'Assumptions'!C$22</x:f>
        <x:v>1913.184</x:v>
      </x:c>
      <x:c r="C12" s="73" t="n">
        <x:f>'Revenue Model'!C$12*'Assumptions'!D$22</x:f>
        <x:v>2562.2999999999997</x:v>
      </x:c>
      <x:c r="D12" s="73" t="n">
        <x:f>'Revenue Model'!D$12*'Assumptions'!E$22</x:f>
        <x:v>3571.2768</x:v>
      </x:c>
      <x:c r="E12" s="73" t="n">
        <x:f>'Revenue Model'!E$12*'Assumptions'!F$22</x:f>
        <x:v>3806.3163600000007</x:v>
      </x:c>
      <x:c r="F12" s="73" t="n">
        <x:f>'Revenue Model'!F$12*'Assumptions'!G$22</x:f>
        <x:v>4628.433599999999</x:v>
      </x:c>
      <x:c r="G12" s="70" t="str">
        <x:v>% of revenue</x:v>
      </x:c>
      <x:c r="H12" s="70"/>
    </x:row>
    <x:row r="13">
      <x:c r="A13" s="75" t="str">
        <x:v>Total operating costs</x:v>
      </x:c>
      <x:c r="B13" s="76" t="n">
        <x:f>SUM(B5:B12)</x:f>
        <x:v>56151.8816</x:v>
      </x:c>
      <x:c r="C13" s="76" t="n">
        <x:f>SUM(C5:C12)</x:f>
        <x:v>61683.350000000006</x:v>
      </x:c>
      <x:c r="D13" s="76" t="n">
        <x:f>SUM(D5:D12)</x:f>
        <x:v>66328.7504</x:v>
      </x:c>
      <x:c r="E13" s="76" t="n">
        <x:f>SUM(E5:E12)</x:f>
        <x:v>68615.34740000001</x:v>
      </x:c>
      <x:c r="F13" s="76" t="n">
        <x:f>SUM(F5:F12)</x:f>
        <x:v>72084.049124</x:v>
      </x:c>
      <x:c r="G13" s="70" t="str">
        <x:v>Sum of cost lines</x:v>
      </x:c>
      <x:c r="H13" s="70"/>
    </x:row>
    <x:row r="14">
      <x:c r="A14" s="70" t="str">
        <x:v>Cost inflation note</x:v>
      </x:c>
      <x:c r="B14" s="70" t="str">
        <x:v>Base year</x:v>
      </x:c>
      <x:c r="C14" s="70" t="str">
        <x:v>3% p.a. on fixed cost lines</x:v>
      </x:c>
      <x:c r="D14" s="70" t="str">
        <x:v>3% p.a. on fixed cost lines</x:v>
      </x:c>
      <x:c r="E14" s="70" t="str">
        <x:v>3% p.a. on fixed cost lines</x:v>
      </x:c>
      <x:c r="F14" s="70" t="str">
        <x:v>3% p.a. on fixed cost lines</x:v>
      </x:c>
      <x:c r="G14" s="70" t="str">
        <x:v>Fixed lines only</x:v>
      </x:c>
      <x:c r="H14" s="70"/>
    </x:row>
    <x:row r="15">
      <x:c r="A15" s="70" t="str">
        <x:v>Operating cost % of revenue</x:v>
      </x:c>
      <x:c r="B15" s="74" t="n">
        <x:f>B13/'Revenue Model'!B$12</x:f>
        <x:v>0.880498921170154</x:v>
      </x:c>
      <x:c r="C15" s="74" t="n">
        <x:f>C13/'Revenue Model'!C$12</x:f>
        <x:v>0.7222029036412598</x:v>
      </x:c>
      <x:c r="D15" s="74" t="n">
        <x:f>D13/'Revenue Model'!D$12</x:f>
        <x:v>0.6500493784183853</x:v>
      </x:c>
      <x:c r="E15" s="74" t="n">
        <x:f>E13/'Revenue Model'!E$12</x:f>
        <x:v>0.6309347231978375</x:v>
      </x:c>
      <x:c r="F15" s="74" t="n">
        <x:f>F13/'Revenue Model'!F$12</x:f>
        <x:v>0.6229671232531023</x:v>
      </x:c>
      <x:c r="G15" s="70" t="str">
        <x:v>Total costs / revenue</x:v>
      </x:c>
      <x:c r="H15" s="70"/>
    </x:row>
  </x:sheetData>
  <x:mergeCells>
    <x:mergeCell ref="A1:G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111" t="str">
        <x:v>ILLUSTRATIVE PROFIT &amp; LOSS</x:v>
      </x:c>
      <x:c r="B1" s="111" t="str">
        <x:v>ILLUSTRATIVE PROFIT &amp; LOSS</x:v>
      </x:c>
      <x:c r="C1" s="111" t="str">
        <x:v>ILLUSTRATIVE PROFIT &amp; LOSS</x:v>
      </x:c>
      <x:c r="D1" s="111" t="str">
        <x:v>ILLUSTRATIVE PROFIT &amp; LOSS</x:v>
      </x:c>
      <x:c r="E1" s="111" t="str">
        <x:v>ILLUSTRATIVE PROFIT &amp; LOSS</x:v>
      </x:c>
      <x:c r="F1" s="111" t="str">
        <x:v>ILLUSTRATIVE PROFIT &amp; LOSS</x:v>
      </x:c>
      <x:c r="G1" s="112"/>
      <x:c r="H1" s="112"/>
    </x:row>
    <x:row r="2" ht="30" customHeight="1">
      <x:c r="A2" s="69" t="str">
        <x:v>Operating result is not a promised distribution and excludes financing, depreciation and final tax treatment.</x:v>
      </x:c>
      <x:c r="B2" s="69" t="str">
        <x:v>Operating result is not a promised distribution and excludes financing, depreciation and final tax treatment.</x:v>
      </x:c>
      <x:c r="C2" s="69" t="str">
        <x:v>Operating result is not a promised distribution and excludes financing, depreciation and final tax treatment.</x:v>
      </x:c>
      <x:c r="D2" s="69" t="str">
        <x:v>Operating result is not a promised distribution and excludes financing, depreciation and final tax treatment.</x:v>
      </x:c>
      <x:c r="E2" s="69" t="str">
        <x:v>Operating result is not a promised distribution and excludes financing, depreciation and final tax treatment.</x:v>
      </x:c>
      <x:c r="F2" s="69" t="str">
        <x:v>Operating result is not a promised distribution and excludes financing, depreciation and final tax treatment.</x:v>
      </x:c>
      <x:c r="G2" s="69" t="str">
        <x:v>Operating result is not a promised distribution and excludes financing, depreciation and final tax treatment.</x:v>
      </x:c>
      <x:c r="H2" s="69" t="str">
        <x:v>Operating result is not a promised distribution and excludes financing, depreciation and final tax treatment.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€</x:v>
      </x:c>
      <x:c r="B4" s="97" t="str">
        <x:v>Year 1</x:v>
      </x:c>
      <x:c r="C4" s="97" t="str">
        <x:v>Year 2</x:v>
      </x:c>
      <x:c r="D4" s="97" t="str">
        <x:v>Year 3</x:v>
      </x:c>
      <x:c r="E4" s="97" t="str">
        <x:v>Year 4</x:v>
      </x:c>
      <x:c r="F4" s="97" t="str">
        <x:v>Year 5</x:v>
      </x:c>
      <x:c r="G4" s="70"/>
      <x:c r="H4" s="70"/>
    </x:row>
    <x:row r="5">
      <x:c r="A5" s="70" t="str">
        <x:v>Room revenue</x:v>
      </x:c>
      <x:c r="B5" s="73" t="n">
        <x:f>'Revenue Model'!B$10</x:f>
        <x:v>61320</x:v>
      </x:c>
      <x:c r="C5" s="73" t="n">
        <x:f>'Revenue Model'!C$10</x:f>
        <x:v>82125</x:v>
      </x:c>
      <x:c r="D5" s="73" t="n">
        <x:f>'Revenue Model'!D$10</x:f>
        <x:v>98112</x:v>
      </x:c>
      <x:c r="E5" s="73" t="n">
        <x:f>'Revenue Model'!E$10</x:f>
        <x:v>104068.8</x:v>
      </x:c>
      <x:c r="F5" s="73" t="n">
        <x:f>'Revenue Model'!F$10</x:f>
        <x:v>110200.79999999999</x:v>
      </x:c>
      <x:c r="G5" s="70"/>
      <x:c r="H5" s="70"/>
    </x:row>
    <x:row r="6">
      <x:c r="A6" s="70" t="str">
        <x:v>Ancillary revenue</x:v>
      </x:c>
      <x:c r="B6" s="73" t="n">
        <x:f>'Revenue Model'!B$11</x:f>
        <x:v>2452.8</x:v>
      </x:c>
      <x:c r="C6" s="73" t="n">
        <x:f>'Revenue Model'!C$11</x:f>
        <x:v>3285</x:v>
      </x:c>
      <x:c r="D6" s="73" t="n">
        <x:f>'Revenue Model'!D$11</x:f>
        <x:v>3924.48</x:v>
      </x:c>
      <x:c r="E6" s="73" t="n">
        <x:f>'Revenue Model'!E$11</x:f>
        <x:v>4683.096</x:v>
      </x:c>
      <x:c r="F6" s="73" t="n">
        <x:f>'Revenue Model'!F$11</x:f>
        <x:v>5510.04</x:v>
      </x:c>
      <x:c r="G6" s="70"/>
      <x:c r="H6" s="70"/>
    </x:row>
    <x:row r="7">
      <x:c r="A7" s="75" t="str">
        <x:v>Total revenue</x:v>
      </x:c>
      <x:c r="B7" s="76" t="n">
        <x:f>SUM(B5:B6)</x:f>
        <x:v>63772.8</x:v>
      </x:c>
      <x:c r="C7" s="76" t="n">
        <x:f>SUM(C5:C6)</x:f>
        <x:v>85410</x:v>
      </x:c>
      <x:c r="D7" s="76" t="n">
        <x:f>SUM(D5:D6)</x:f>
        <x:v>102036.48</x:v>
      </x:c>
      <x:c r="E7" s="76" t="n">
        <x:f>SUM(E5:E6)</x:f>
        <x:v>108751.89600000001</x:v>
      </x:c>
      <x:c r="F7" s="76" t="n">
        <x:f>SUM(F5:F6)</x:f>
        <x:v>115710.83999999998</x:v>
      </x:c>
      <x:c r="G7" s="70"/>
      <x:c r="H7" s="70"/>
    </x:row>
    <x:row r="8">
      <x:c r="A8" s="70" t="str">
        <x:v>Operating costs</x:v>
      </x:c>
      <x:c r="B8" s="73" t="n">
        <x:f>'Operating Costs'!B$13</x:f>
        <x:v>56151.8816</x:v>
      </x:c>
      <x:c r="C8" s="73" t="n">
        <x:f>'Operating Costs'!C$13</x:f>
        <x:v>61683.350000000006</x:v>
      </x:c>
      <x:c r="D8" s="73" t="n">
        <x:f>'Operating Costs'!D$13</x:f>
        <x:v>66328.7504</x:v>
      </x:c>
      <x:c r="E8" s="73" t="n">
        <x:f>'Operating Costs'!E$13</x:f>
        <x:v>68615.34740000001</x:v>
      </x:c>
      <x:c r="F8" s="73" t="n">
        <x:f>'Operating Costs'!F$13</x:f>
        <x:v>72084.049124</x:v>
      </x:c>
      <x:c r="G8" s="70"/>
      <x:c r="H8" s="70"/>
    </x:row>
    <x:row r="9">
      <x:c r="A9" s="75" t="str">
        <x:v>Operating result</x:v>
      </x:c>
      <x:c r="B9" s="76" t="n">
        <x:f>B7-B8</x:f>
        <x:v>7620.918400000002</x:v>
      </x:c>
      <x:c r="C9" s="76" t="n">
        <x:f>C7-C8</x:f>
        <x:v>23726.649999999994</x:v>
      </x:c>
      <x:c r="D9" s="76" t="n">
        <x:f>D7-D8</x:f>
        <x:v>35707.72959999999</x:v>
      </x:c>
      <x:c r="E9" s="76" t="n">
        <x:f>E7-E8</x:f>
        <x:v>40136.548599999995</x:v>
      </x:c>
      <x:c r="F9" s="76" t="n">
        <x:f>F7-F8</x:f>
        <x:v>43626.790875999985</x:v>
      </x:c>
      <x:c r="G9" s="70"/>
      <x:c r="H9" s="70"/>
    </x:row>
    <x:row r="10">
      <x:c r="A10" s="70" t="str">
        <x:v>Operating margin</x:v>
      </x:c>
      <x:c r="B10" s="74" t="n">
        <x:f>B9/B7</x:f>
        <x:v>0.11950107882984598</x:v>
      </x:c>
      <x:c r="C10" s="74" t="n">
        <x:f>C9/C7</x:f>
        <x:v>0.2777970963587401</x:v>
      </x:c>
      <x:c r="D10" s="74" t="n">
        <x:f>D9/D7</x:f>
        <x:v>0.34995062158161466</x:v>
      </x:c>
      <x:c r="E10" s="74" t="n">
        <x:f>E9/E7</x:f>
        <x:v>0.3690652768021625</x:v>
      </x:c>
      <x:c r="F10" s="74" t="n">
        <x:f>F9/F7</x:f>
        <x:v>0.3770328767468976</x:v>
      </x:c>
      <x:c r="G10" s="70"/>
      <x:c r="H10" s="70"/>
    </x:row>
    <x:row r="11">
      <x:c r="A11" s="70" t="str">
        <x:v>Cash tax placeholder</x:v>
      </x:c>
      <x:c r="B11" s="73" t="n">
        <x:f>MAX(0,B9*'Assumptions'!$C$33)</x:f>
        <x:v>1676.6020480000004</x:v>
      </x:c>
      <x:c r="C11" s="73" t="n">
        <x:f>MAX(0,C9*'Assumptions'!$C$33)</x:f>
        <x:v>5219.8629999999985</x:v>
      </x:c>
      <x:c r="D11" s="73" t="n">
        <x:f>MAX(0,D9*'Assumptions'!$C$33)</x:f>
        <x:v>7855.7005119999985</x:v>
      </x:c>
      <x:c r="E11" s="73" t="n">
        <x:f>MAX(0,E9*'Assumptions'!$C$33)</x:f>
        <x:v>8830.040691999999</x:v>
      </x:c>
      <x:c r="F11" s="73" t="n">
        <x:f>MAX(0,F9*'Assumptions'!$C$33)</x:f>
        <x:v>9597.893992719997</x:v>
      </x:c>
      <x:c r="G11" s="70"/>
      <x:c r="H11" s="70"/>
    </x:row>
    <x:row r="12">
      <x:c r="A12" s="75" t="str">
        <x:v>Post-tax operating cash</x:v>
      </x:c>
      <x:c r="B12" s="76" t="n">
        <x:f>B9-B11</x:f>
        <x:v>5944.316352000002</x:v>
      </x:c>
      <x:c r="C12" s="76" t="n">
        <x:f>C9-C11</x:f>
        <x:v>18506.786999999997</x:v>
      </x:c>
      <x:c r="D12" s="76" t="n">
        <x:f>D9-D11</x:f>
        <x:v>27852.029087999992</x:v>
      </x:c>
      <x:c r="E12" s="76" t="n">
        <x:f>E9-E11</x:f>
        <x:v>31306.507907999996</x:v>
      </x:c>
      <x:c r="F12" s="76" t="n">
        <x:f>F9-F11</x:f>
        <x:v>34028.89688327999</x:v>
      </x:c>
      <x:c r="G12" s="70"/>
      <x:c r="H12" s="70"/>
    </x:row>
  </x:sheetData>
  <x:mergeCells>
    <x:mergeCell ref="A1:F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111" t="str">
        <x:v>ILLUSTRATIVE CASH FLOW &amp; DISTRIBUTION CAPACITY</x:v>
      </x:c>
      <x:c r="B1" s="111" t="str">
        <x:v>ILLUSTRATIVE CASH FLOW &amp; DISTRIBUTION CAPACITY</x:v>
      </x:c>
      <x:c r="C1" s="111" t="str">
        <x:v>ILLUSTRATIVE CASH FLOW &amp; DISTRIBUTION CAPACITY</x:v>
      </x:c>
      <x:c r="D1" s="111" t="str">
        <x:v>ILLUSTRATIVE CASH FLOW &amp; DISTRIBUTION CAPACITY</x:v>
      </x:c>
      <x:c r="E1" s="111" t="str">
        <x:v>ILLUSTRATIVE CASH FLOW &amp; DISTRIBUTION CAPACITY</x:v>
      </x:c>
      <x:c r="F1" s="111" t="str">
        <x:v>ILLUSTRATIVE CASH FLOW &amp; DISTRIBUTION CAPACITY</x:v>
      </x:c>
      <x:c r="G1" s="112"/>
      <x:c r="H1" s="112"/>
    </x:row>
    <x:row r="2" ht="30" customHeight="1">
      <x:c r="A2" s="69" t="str">
        <x:v>Distribution policy remains subject to legal structure, reserves, annual accounts and board/shareholder approval.</x:v>
      </x:c>
      <x:c r="B2" s="69" t="str">
        <x:v>Distribution policy remains subject to legal structure, reserves, annual accounts and board/shareholder approval.</x:v>
      </x:c>
      <x:c r="C2" s="69" t="str">
        <x:v>Distribution policy remains subject to legal structure, reserves, annual accounts and board/shareholder approval.</x:v>
      </x:c>
      <x:c r="D2" s="69" t="str">
        <x:v>Distribution policy remains subject to legal structure, reserves, annual accounts and board/shareholder approval.</x:v>
      </x:c>
      <x:c r="E2" s="69" t="str">
        <x:v>Distribution policy remains subject to legal structure, reserves, annual accounts and board/shareholder approval.</x:v>
      </x:c>
      <x:c r="F2" s="69" t="str">
        <x:v>Distribution policy remains subject to legal structure, reserves, annual accounts and board/shareholder approval.</x:v>
      </x:c>
      <x:c r="G2" s="69" t="str">
        <x:v>Distribution policy remains subject to legal structure, reserves, annual accounts and board/shareholder approval.</x:v>
      </x:c>
      <x:c r="H2" s="69" t="str">
        <x:v>Distribution policy remains subject to legal structure, reserves, annual accounts and board/shareholder approval.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€</x:v>
      </x:c>
      <x:c r="B4" s="97" t="str">
        <x:v>Year 1</x:v>
      </x:c>
      <x:c r="C4" s="97" t="str">
        <x:v>Year 2</x:v>
      </x:c>
      <x:c r="D4" s="97" t="str">
        <x:v>Year 3</x:v>
      </x:c>
      <x:c r="E4" s="97" t="str">
        <x:v>Year 4</x:v>
      </x:c>
      <x:c r="F4" s="97" t="str">
        <x:v>Year 5</x:v>
      </x:c>
      <x:c r="G4" s="70"/>
      <x:c r="H4" s="70"/>
    </x:row>
    <x:row r="5">
      <x:c r="A5" s="70" t="str">
        <x:v>Post-tax operating cash</x:v>
      </x:c>
      <x:c r="B5" s="73" t="n">
        <x:f>'P&amp;L'!B$12</x:f>
        <x:v>5944.316352000002</x:v>
      </x:c>
      <x:c r="C5" s="73" t="n">
        <x:f>'P&amp;L'!C$12</x:f>
        <x:v>18506.786999999997</x:v>
      </x:c>
      <x:c r="D5" s="73" t="n">
        <x:f>'P&amp;L'!D$12</x:f>
        <x:v>27852.029087999992</x:v>
      </x:c>
      <x:c r="E5" s="73" t="n">
        <x:f>'P&amp;L'!E$12</x:f>
        <x:v>31306.507907999996</x:v>
      </x:c>
      <x:c r="F5" s="73" t="n">
        <x:f>'P&amp;L'!F$12</x:f>
        <x:v>34028.89688327999</x:v>
      </x:c>
      <x:c r="G5" s="70"/>
      <x:c r="H5" s="70"/>
    </x:row>
    <x:row r="6">
      <x:c r="A6" s="70" t="str">
        <x:v>Maintenance reserve contribution</x:v>
      </x:c>
      <x:c r="B6" s="73" t="n">
        <x:f>'P&amp;L'!B$7*'Assumptions'!$C$31</x:f>
        <x:v>1913.184</x:v>
      </x:c>
      <x:c r="C6" s="73" t="n">
        <x:f>'P&amp;L'!C$7*'Assumptions'!$C$31</x:f>
        <x:v>2562.2999999999997</x:v>
      </x:c>
      <x:c r="D6" s="73" t="n">
        <x:f>'P&amp;L'!D$7*'Assumptions'!$C$31</x:f>
        <x:v>3061.0944</x:v>
      </x:c>
      <x:c r="E6" s="73" t="n">
        <x:f>'P&amp;L'!E$7*'Assumptions'!$C$31</x:f>
        <x:v>3262.55688</x:v>
      </x:c>
      <x:c r="F6" s="73" t="n">
        <x:f>'P&amp;L'!F$7*'Assumptions'!$C$31</x:f>
        <x:v>3471.3251999999993</x:v>
      </x:c>
      <x:c r="G6" s="70"/>
      <x:c r="H6" s="70"/>
    </x:row>
    <x:row r="7">
      <x:c r="A7" s="70" t="str">
        <x:v>Cash after maintenance reserve</x:v>
      </x:c>
      <x:c r="B7" s="73" t="n">
        <x:f>B5-B6</x:f>
        <x:v>4031.1323520000014</x:v>
      </x:c>
      <x:c r="C7" s="73" t="n">
        <x:f>C5-C6</x:f>
        <x:v>15944.486999999997</x:v>
      </x:c>
      <x:c r="D7" s="73" t="n">
        <x:f>D5-D6</x:f>
        <x:v>24790.934687999994</x:v>
      </x:c>
      <x:c r="E7" s="73" t="n">
        <x:f>E5-E6</x:f>
        <x:v>28043.951027999996</x:v>
      </x:c>
      <x:c r="F7" s="73" t="n">
        <x:f>F5-F6</x:f>
        <x:v>30557.571683279988</x:v>
      </x:c>
      <x:c r="G7" s="70"/>
      <x:c r="H7" s="70"/>
    </x:row>
    <x:row r="8">
      <x:c r="A8" s="70" t="str">
        <x:v>Working-capital reserve build</x:v>
      </x:c>
      <x:c r="B8" s="73" t="n">
        <x:f>MIN('Assumptions'!$C$32,MAX(0,B7))</x:f>
        <x:v>4031.1323520000014</x:v>
      </x:c>
      <x:c r="C8" s="73" t="n">
        <x:f>0</x:f>
        <x:v>0</x:v>
      </x:c>
      <x:c r="D8" s="73" t="n">
        <x:f>0</x:f>
        <x:v>0</x:v>
      </x:c>
      <x:c r="E8" s="73" t="n">
        <x:f>0</x:f>
        <x:v>0</x:v>
      </x:c>
      <x:c r="F8" s="73" t="n">
        <x:f>0</x:f>
        <x:v>0</x:v>
      </x:c>
      <x:c r="G8" s="70"/>
      <x:c r="H8" s="70"/>
    </x:row>
    <x:row r="9">
      <x:c r="A9" s="75" t="str">
        <x:v>Cash available for distribution</x:v>
      </x:c>
      <x:c r="B9" s="76" t="n">
        <x:f>MAX(0,B7-B8)</x:f>
        <x:v>0</x:v>
      </x:c>
      <x:c r="C9" s="76" t="n">
        <x:f>MAX(0,C7-C8)</x:f>
        <x:v>15944.486999999997</x:v>
      </x:c>
      <x:c r="D9" s="76" t="n">
        <x:f>MAX(0,D7-D8)</x:f>
        <x:v>24790.934687999994</x:v>
      </x:c>
      <x:c r="E9" s="76" t="n">
        <x:f>MAX(0,E7-E8)</x:f>
        <x:v>28043.951027999996</x:v>
      </x:c>
      <x:c r="F9" s="76" t="n">
        <x:f>MAX(0,F7-F8)</x:f>
        <x:v>30557.571683279988</x:v>
      </x:c>
      <x:c r="G9" s="70"/>
      <x:c r="H9" s="70"/>
    </x:row>
    <x:row r="10">
      <x:c r="A10" s="75" t="str">
        <x:v>Illustrative distribution</x:v>
      </x:c>
      <x:c r="B10" s="76" t="n">
        <x:f>B9*'Assumptions'!$C$34</x:f>
        <x:v>0</x:v>
      </x:c>
      <x:c r="C10" s="76" t="n">
        <x:f>C9*'Assumptions'!$C$34</x:f>
        <x:v>11161.140899999997</x:v>
      </x:c>
      <x:c r="D10" s="76" t="n">
        <x:f>D9*'Assumptions'!$C$34</x:f>
        <x:v>17353.654281599993</x:v>
      </x:c>
      <x:c r="E10" s="76" t="n">
        <x:f>E9*'Assumptions'!$C$34</x:f>
        <x:v>19630.765719599996</x:v>
      </x:c>
      <x:c r="F10" s="76" t="n">
        <x:f>F9*'Assumptions'!$C$34</x:f>
        <x:v>21390.30017829599</x:v>
      </x:c>
      <x:c r="G10" s="70"/>
      <x:c r="H10" s="70"/>
    </x:row>
    <x:row r="11">
      <x:c r="A11" s="70" t="str">
        <x:v>Cash retained in business</x:v>
      </x:c>
      <x:c r="B11" s="73" t="n">
        <x:f>B9-B10</x:f>
        <x:v>0</x:v>
      </x:c>
      <x:c r="C11" s="73" t="n">
        <x:f>C9-C10</x:f>
        <x:v>4783.346100000001</x:v>
      </x:c>
      <x:c r="D11" s="73" t="n">
        <x:f>D9-D10</x:f>
        <x:v>7437.280406400001</x:v>
      </x:c>
      <x:c r="E11" s="73" t="n">
        <x:f>E9-E10</x:f>
        <x:v>8413.1853084</x:v>
      </x:c>
      <x:c r="F11" s="73" t="n">
        <x:f>F9-F10</x:f>
        <x:v>9167.271504983997</x:v>
      </x:c>
      <x:c r="G11" s="70"/>
      <x:c r="H11" s="70"/>
    </x:row>
    <x:row r="12">
      <x:c r="A12" s="70" t="str">
        <x:v>Cumulative illustrative distributions</x:v>
      </x:c>
      <x:c r="B12" s="73" t="n">
        <x:f>B10</x:f>
        <x:v>0</x:v>
      </x:c>
      <x:c r="C12" s="73" t="n">
        <x:f>B12+C10</x:f>
        <x:v>11161.140899999997</x:v>
      </x:c>
      <x:c r="D12" s="73" t="n">
        <x:f>C12+D10</x:f>
        <x:v>28514.79518159999</x:v>
      </x:c>
      <x:c r="E12" s="73" t="n">
        <x:f>D12+E10</x:f>
        <x:v>48145.56090119999</x:v>
      </x:c>
      <x:c r="F12" s="73" t="n">
        <x:f>E12+F10</x:f>
        <x:v>69535.86107949598</x:v>
      </x:c>
      <x:c r="G12" s="70"/>
      <x:c r="H12" s="70"/>
    </x:row>
    <x:row r="13">
      <x:c r="A13" s="70" t="str">
        <x:v>Distribution yield on €242k project cost</x:v>
      </x:c>
      <x:c r="B13" s="74" t="n">
        <x:f>B10/('Capex'!$B$14*1000)</x:f>
        <x:v>0</x:v>
      </x:c>
      <x:c r="C13" s="74" t="n">
        <x:f>C10/('Capex'!$B$14*1000)</x:f>
        <x:v>0.046120416942148745</x:v>
      </x:c>
      <x:c r="D13" s="74" t="n">
        <x:f>D10/('Capex'!$B$14*1000)</x:f>
        <x:v>0.07170931521322312</x:v>
      </x:c>
      <x:c r="E13" s="74" t="n">
        <x:f>E10/('Capex'!$B$14*1000)</x:f>
        <x:v>0.08111886660991734</x:v>
      </x:c>
      <x:c r="F13" s="74" t="n">
        <x:f>F10/('Capex'!$B$14*1000)</x:f>
        <x:v>0.08838967015824789</x:v>
      </x:c>
      <x:c r="G13" s="70"/>
      <x:c r="H13" s="70"/>
    </x:row>
  </x:sheetData>
  <x:mergeCells>
    <x:mergeCell ref="A1:F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46" hidden="0" customWidth="1"/>
  </x:cols>
  <x:sheetData>
    <x:row r="1" ht="34" customHeight="1">
      <x:c r="A1" s="111" t="str">
        <x:v>PROJECT INVESTMENT &amp; USE OF FUNDS</x:v>
      </x:c>
      <x:c r="B1" s="111" t="str">
        <x:v>PROJECT INVESTMENT &amp; USE OF FUNDS</x:v>
      </x:c>
      <x:c r="C1" s="111" t="str">
        <x:v>PROJECT INVESTMENT &amp; USE OF FUNDS</x:v>
      </x:c>
      <x:c r="D1" s="111" t="str">
        <x:v>PROJECT INVESTMENT &amp; USE OF FUNDS</x:v>
      </x:c>
      <x:c r="E1" s="111" t="str">
        <x:v>PROJECT INVESTMENT &amp; USE OF FUNDS</x:v>
      </x:c>
      <x:c r="F1" s="112"/>
      <x:c r="G1" s="112"/>
      <x:c r="H1" s="112"/>
    </x:row>
    <x:row r="2" ht="30" customHeight="1">
      <x:c r="A2" s="69" t="str">
        <x:v>Land is purchased and owned as part of the project, within the final legally advised ownership structure.</x:v>
      </x:c>
      <x:c r="B2" s="69" t="str">
        <x:v>Land is purchased and owned as part of the project, within the final legally advised ownership structure.</x:v>
      </x:c>
      <x:c r="C2" s="69" t="str">
        <x:v>Land is purchased and owned as part of the project, within the final legally advised ownership structure.</x:v>
      </x:c>
      <x:c r="D2" s="69" t="str">
        <x:v>Land is purchased and owned as part of the project, within the final legally advised ownership structure.</x:v>
      </x:c>
      <x:c r="E2" s="69" t="str">
        <x:v>Land is purchased and owned as part of the project, within the final legally advised ownership structure.</x:v>
      </x:c>
      <x:c r="F2" s="69" t="str">
        <x:v>Land is purchased and owned as part of the project, within the final legally advised ownership structure.</x:v>
      </x:c>
      <x:c r="G2" s="69" t="str">
        <x:v>Land is purchased and owned as part of the project, within the final legally advised ownership structure.</x:v>
      </x:c>
      <x:c r="H2" s="69" t="str">
        <x:v>Land is purchased and owned as part of the project, within the final legally advised ownership structure.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Use of funds</x:v>
      </x:c>
      <x:c r="B4" s="97" t="str">
        <x:v>€000</x:v>
      </x:c>
      <x:c r="C4" s="97" t="str">
        <x:v>IDR million</x:v>
      </x:c>
      <x:c r="D4" s="97" t="str">
        <x:v>% of total</x:v>
      </x:c>
      <x:c r="E4" s="97" t="str">
        <x:v>Status / note</x:v>
      </x:c>
      <x:c r="F4" s="70"/>
      <x:c r="G4" s="70"/>
      <x:c r="H4" s="70"/>
    </x:row>
    <x:row r="5">
      <x:c r="A5" s="70" t="str">
        <x:v>Land acquisition</x:v>
      </x:c>
      <x:c r="B5" s="93" t="n">
        <x:v>48</x:v>
      </x:c>
      <x:c r="C5" s="70" t="n">
        <x:f>B5*'Assumptions'!$C$11/1000</x:f>
        <x:v>990.288</x:v>
      </x:c>
      <x:c r="D5" s="74" t="n">
        <x:f>B5/$B$14</x:f>
        <x:v>0.19834710743801653</x:v>
      </x:c>
      <x:c r="E5" s="70" t="str">
        <x:v>Land purchased, not leased</x:v>
      </x:c>
      <x:c r="F5" s="70"/>
      <x:c r="G5" s="70"/>
      <x:c r="H5" s="70"/>
    </x:row>
    <x:row r="6">
      <x:c r="A6" s="70" t="str">
        <x:v>Building construction</x:v>
      </x:c>
      <x:c r="B6" s="94" t="n">
        <x:v>95</x:v>
      </x:c>
      <x:c r="C6" s="70" t="n">
        <x:f>B6*'Assumptions'!$C$11/1000</x:f>
        <x:v>1959.945</x:v>
      </x:c>
      <x:c r="D6" s="74" t="n">
        <x:f>B6/$B$14</x:f>
        <x:v>0.3925619834710744</x:v>
      </x:c>
      <x:c r="E6" s="70" t="str">
        <x:v>Reduced scope; validate with measured design</x:v>
      </x:c>
      <x:c r="F6" s="70"/>
      <x:c r="G6" s="70"/>
      <x:c r="H6" s="70"/>
    </x:row>
    <x:row r="7">
      <x:c r="A7" s="70" t="str">
        <x:v>MEP, plumbing &amp; utilities</x:v>
      </x:c>
      <x:c r="B7" s="94" t="n">
        <x:v>20</x:v>
      </x:c>
      <x:c r="C7" s="70" t="n">
        <x:f>B7*'Assumptions'!$C$11/1000</x:f>
        <x:v>412.62</x:v>
      </x:c>
      <x:c r="D7" s="74" t="n">
        <x:f>B7/$B$14</x:f>
        <x:v>0.08264462809917356</x:v>
      </x:c>
      <x:c r="E7" s="70" t="str">
        <x:v>Value-engineered systems allowance</x:v>
      </x:c>
      <x:c r="F7" s="70"/>
      <x:c r="G7" s="70"/>
      <x:c r="H7" s="70"/>
    </x:row>
    <x:row r="8">
      <x:c r="A8" s="70" t="str">
        <x:v>Furniture, fixtures &amp; equipment</x:v>
      </x:c>
      <x:c r="B8" s="94" t="n">
        <x:v>20</x:v>
      </x:c>
      <x:c r="C8" s="70" t="n">
        <x:f>B8*'Assumptions'!$C$11/1000</x:f>
        <x:v>412.62</x:v>
      </x:c>
      <x:c r="D8" s="74" t="n">
        <x:f>B8/$B$14</x:f>
        <x:v>0.08264462809917356</x:v>
      </x:c>
      <x:c r="E8" s="70" t="str">
        <x:v>Prioritise guest-critical FF&amp;E</x:v>
      </x:c>
      <x:c r="F8" s="70"/>
      <x:c r="G8" s="70"/>
      <x:c r="H8" s="70"/>
    </x:row>
    <x:row r="9">
      <x:c r="A9" s="70" t="str">
        <x:v>Coworking &amp; gym equipment</x:v>
      </x:c>
      <x:c r="B9" s="94" t="n">
        <x:v>8</x:v>
      </x:c>
      <x:c r="C9" s="70" t="n">
        <x:f>B9*'Assumptions'!$C$11/1000</x:f>
        <x:v>165.048</x:v>
      </x:c>
      <x:c r="D9" s="74" t="n">
        <x:f>B9/$B$14</x:f>
        <x:v>0.03305785123966942</x:v>
      </x:c>
      <x:c r="E9" s="70" t="str">
        <x:v>Phase equipment and reuse where possible</x:v>
      </x:c>
      <x:c r="F9" s="70"/>
      <x:c r="G9" s="70"/>
      <x:c r="H9" s="70"/>
    </x:row>
    <x:row r="10">
      <x:c r="A10" s="70" t="str">
        <x:v>Pool &amp; landscaping</x:v>
      </x:c>
      <x:c r="B10" s="94" t="n">
        <x:v>7</x:v>
      </x:c>
      <x:c r="C10" s="70" t="n">
        <x:f>B10*'Assumptions'!$C$11/1000</x:f>
        <x:v>144.417</x:v>
      </x:c>
      <x:c r="D10" s="74" t="n">
        <x:f>B10/$B$14</x:f>
        <x:v>0.028925619834710745</x:v>
      </x:c>
      <x:c r="E10" s="70" t="str">
        <x:v>Simplified landscape scope</x:v>
      </x:c>
      <x:c r="F10" s="70"/>
      <x:c r="G10" s="70"/>
      <x:c r="H10" s="70"/>
    </x:row>
    <x:row r="11">
      <x:c r="A11" s="70" t="str">
        <x:v>Professional fees &amp; permits</x:v>
      </x:c>
      <x:c r="B11" s="94" t="n">
        <x:v>12</x:v>
      </x:c>
      <x:c r="C11" s="70" t="n">
        <x:f>B11*'Assumptions'!$C$11/1000</x:f>
        <x:v>247.572</x:v>
      </x:c>
      <x:c r="D11" s="74" t="n">
        <x:f>B11/$B$14</x:f>
        <x:v>0.049586776859504134</x:v>
      </x:c>
      <x:c r="E11" s="70" t="str">
        <x:v>Fixed scope and local professional support</x:v>
      </x:c>
      <x:c r="F11" s="70"/>
      <x:c r="G11" s="70"/>
      <x:c r="H11" s="70"/>
    </x:row>
    <x:row r="12">
      <x:c r="A12" s="70" t="str">
        <x:v>Pre-opening &amp; working capital</x:v>
      </x:c>
      <x:c r="B12" s="94" t="n">
        <x:v>10</x:v>
      </x:c>
      <x:c r="C12" s="70" t="n">
        <x:f>B12*'Assumptions'!$C$11/1000</x:f>
        <x:v>206.31</x:v>
      </x:c>
      <x:c r="D12" s="74" t="n">
        <x:f>B12/$B$14</x:f>
        <x:v>0.04132231404958678</x:v>
      </x:c>
      <x:c r="E12" s="70" t="str">
        <x:v>Opening stock, training, launch and cash buffer</x:v>
      </x:c>
      <x:c r="F12" s="70"/>
      <x:c r="G12" s="70"/>
      <x:c r="H12" s="70"/>
    </x:row>
    <x:row r="13">
      <x:c r="A13" s="70" t="str">
        <x:v>Contingency</x:v>
      </x:c>
      <x:c r="B13" s="96" t="n">
        <x:v>22</x:v>
      </x:c>
      <x:c r="C13" s="70" t="n">
        <x:f>B13*'Assumptions'!$C$11/1000</x:f>
        <x:v>453.882</x:v>
      </x:c>
      <x:c r="D13" s="74" t="n">
        <x:f>B13/$B$14</x:f>
        <x:v>0.09090909090909091</x:v>
      </x:c>
      <x:c r="E13" s="70" t="str">
        <x:v>Protected contingency on reduced scope</x:v>
      </x:c>
      <x:c r="F13" s="70"/>
      <x:c r="G13" s="70"/>
      <x:c r="H13" s="70"/>
    </x:row>
    <x:row r="14">
      <x:c r="A14" s="75" t="str">
        <x:v>Total project investment</x:v>
      </x:c>
      <x:c r="B14" s="76" t="n">
        <x:f>SUM(B5:B13)</x:f>
        <x:v>242</x:v>
      </x:c>
      <x:c r="C14" s="75" t="n">
        <x:f>SUM(C5:C13)</x:f>
        <x:v>4992.701999999999</x:v>
      </x:c>
      <x:c r="D14" s="98" t="n">
        <x:f>SUM(D5:D13)</x:f>
        <x:v>1</x:v>
      </x:c>
      <x:c r="E14" s="70" t="str">
        <x:v>Formula total</x:v>
      </x:c>
      <x:c r="F14" s="70"/>
      <x:c r="G14" s="70"/>
      <x:c r="H14" s="70"/>
    </x:row>
    <x:row r="15">
      <x:c r="A15" s="70" t="str">
        <x:v>Agreed fixed project budget</x:v>
      </x:c>
      <x:c r="B15" s="73" t="n">
        <x:v>242</x:v>
      </x:c>
      <x:c r="C15" s="70" t="n">
        <x:f>B15*'Assumptions'!$C$11/1000</x:f>
        <x:v>4992.702</x:v>
      </x:c>
      <x:c r="D15" s="70"/>
      <x:c r="E15" s="70" t="str">
        <x:v>Agreed fixed project budget</x:v>
      </x:c>
      <x:c r="F15" s="70"/>
      <x:c r="G15" s="70"/>
      <x:c r="H15" s="70"/>
    </x:row>
  </x:sheetData>
  <x:mergeCells>
    <x:mergeCell ref="A1:E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111" t="str">
        <x:v>OCCUPANCY &amp; ADR SENSITIVITY</x:v>
      </x:c>
      <x:c r="B1" s="111" t="str">
        <x:v>OCCUPANCY &amp; ADR SENSITIVITY</x:v>
      </x:c>
      <x:c r="C1" s="111" t="str">
        <x:v>OCCUPANCY &amp; ADR SENSITIVITY</x:v>
      </x:c>
      <x:c r="D1" s="111" t="str">
        <x:v>OCCUPANCY &amp; ADR SENSITIVITY</x:v>
      </x:c>
      <x:c r="E1" s="111" t="str">
        <x:v>OCCUPANCY &amp; ADR SENSITIVITY</x:v>
      </x:c>
      <x:c r="F1" s="111" t="str">
        <x:v>OCCUPANCY &amp; ADR SENSITIVITY</x:v>
      </x:c>
      <x:c r="G1" s="111" t="str">
        <x:v>OCCUPANCY &amp; ADR SENSITIVITY</x:v>
      </x:c>
      <x:c r="H1" s="111" t="str">
        <x:v>OCCUPANCY &amp; ADR SENSITIVITY</x:v>
      </x:c>
    </x:row>
    <x:row r="2" ht="30" customHeight="1">
      <x:c r="A2" s="69" t="str">
        <x:v>Annual operating result before tax, capex, reserves and financing.</x:v>
      </x:c>
      <x:c r="B2" s="69" t="str">
        <x:v>Annual operating result before tax, capex, reserves and financing.</x:v>
      </x:c>
      <x:c r="C2" s="69" t="str">
        <x:v>Annual operating result before tax, capex, reserves and financing.</x:v>
      </x:c>
      <x:c r="D2" s="69" t="str">
        <x:v>Annual operating result before tax, capex, reserves and financing.</x:v>
      </x:c>
      <x:c r="E2" s="69" t="str">
        <x:v>Annual operating result before tax, capex, reserves and financing.</x:v>
      </x:c>
      <x:c r="F2" s="69" t="str">
        <x:v>Annual operating result before tax, capex, reserves and financing.</x:v>
      </x:c>
      <x:c r="G2" s="69" t="str">
        <x:v>Annual operating result before tax, capex, reserves and financing.</x:v>
      </x:c>
      <x:c r="H2" s="69" t="str">
        <x:v>Annual operating result before tax, capex, reserves and financing.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Occupancy / ADR</x:v>
      </x:c>
      <x:c r="B4" s="99" t="n">
        <x:v>26</x:v>
      </x:c>
      <x:c r="C4" s="99" t="n">
        <x:v>28</x:v>
      </x:c>
      <x:c r="D4" s="99" t="n">
        <x:v>30</x:v>
      </x:c>
      <x:c r="E4" s="99" t="n">
        <x:v>32</x:v>
      </x:c>
      <x:c r="F4" s="99" t="n">
        <x:v>34</x:v>
      </x:c>
      <x:c r="G4" s="99" t="n">
        <x:v>36</x:v>
      </x:c>
      <x:c r="H4" s="70"/>
    </x:row>
    <x:row r="5">
      <x:c r="A5" s="74" t="n">
        <x:v>0.45</x:v>
      </x:c>
      <x:c r="B5" s="73" t="n">
        <x:f>('Assumptions'!$C$7*'Assumptions'!$C$8*$A5*B$4*(1+'Assumptions'!$E$18))-('Assumptions'!$C$10*'Assumptions'!$C$26*12+'Assumptions'!$C$27+'Assumptions'!$C$28+'Assumptions'!$C$29)-('Assumptions'!$C$7*'Assumptions'!$C$8*$A5*B$4*(1+'Assumptions'!$E$18))*SUM('Assumptions'!$E$19:$E$22)</x:f>
        <x:v>637.7968000000019</x:v>
      </x:c>
      <x:c r="C5" s="73" t="n">
        <x:f>('Assumptions'!$C$7*'Assumptions'!$C$8*$A5*C$4*(1+'Assumptions'!$E$18))-('Assumptions'!$C$10*'Assumptions'!$C$26*12+'Assumptions'!$C$27+'Assumptions'!$C$28+'Assumptions'!$C$29)-('Assumptions'!$C$7*'Assumptions'!$C$8*$A5*C$4*(1+'Assumptions'!$E$18))*SUM('Assumptions'!$E$19:$E$22)</x:f>
        <x:v>3794.550400000002</x:v>
      </x:c>
      <x:c r="D5" s="73" t="n">
        <x:f>('Assumptions'!$C$7*'Assumptions'!$C$8*$A5*D$4*(1+'Assumptions'!$E$18))-('Assumptions'!$C$10*'Assumptions'!$C$26*12+'Assumptions'!$C$27+'Assumptions'!$C$28+'Assumptions'!$C$29)-('Assumptions'!$C$7*'Assumptions'!$C$8*$A5*D$4*(1+'Assumptions'!$E$18))*SUM('Assumptions'!$E$19:$E$22)</x:f>
        <x:v>6951.304000000002</x:v>
      </x:c>
      <x:c r="E5" s="73" t="n">
        <x:f>('Assumptions'!$C$7*'Assumptions'!$C$8*$A5*E$4*(1+'Assumptions'!$E$18))-('Assumptions'!$C$10*'Assumptions'!$C$26*12+'Assumptions'!$C$27+'Assumptions'!$C$28+'Assumptions'!$C$29)-('Assumptions'!$C$7*'Assumptions'!$C$8*$A5*E$4*(1+'Assumptions'!$E$18))*SUM('Assumptions'!$E$19:$E$22)</x:f>
        <x:v>10108.057600000004</x:v>
      </x:c>
      <x:c r="F5" s="73" t="n">
        <x:f>('Assumptions'!$C$7*'Assumptions'!$C$8*$A5*F$4*(1+'Assumptions'!$E$18))-('Assumptions'!$C$10*'Assumptions'!$C$26*12+'Assumptions'!$C$27+'Assumptions'!$C$28+'Assumptions'!$C$29)-('Assumptions'!$C$7*'Assumptions'!$C$8*$A5*F$4*(1+'Assumptions'!$E$18))*SUM('Assumptions'!$E$19:$E$22)</x:f>
        <x:v>13264.811199999998</x:v>
      </x:c>
      <x:c r="G5" s="73" t="n">
        <x:f>('Assumptions'!$C$7*'Assumptions'!$C$8*$A5*G$4*(1+'Assumptions'!$E$18))-('Assumptions'!$C$10*'Assumptions'!$C$26*12+'Assumptions'!$C$27+'Assumptions'!$C$28+'Assumptions'!$C$29)-('Assumptions'!$C$7*'Assumptions'!$C$8*$A5*G$4*(1+'Assumptions'!$E$18))*SUM('Assumptions'!$E$19:$E$22)</x:f>
        <x:v>16421.564800000004</x:v>
      </x:c>
      <x:c r="H5" s="70"/>
    </x:row>
    <x:row r="6">
      <x:c r="A6" s="74" t="n">
        <x:v>0.5</x:v>
      </x:c>
      <x:c r="B6" s="73" t="n">
        <x:f>('Assumptions'!$C$7*'Assumptions'!$C$8*$A6*B$4*(1+'Assumptions'!$E$18))-('Assumptions'!$C$10*'Assumptions'!$C$26*12+'Assumptions'!$C$27+'Assumptions'!$C$28+'Assumptions'!$C$29)-('Assumptions'!$C$7*'Assumptions'!$C$8*$A6*B$4*(1+'Assumptions'!$E$18))*SUM('Assumptions'!$E$19:$E$22)</x:f>
        <x:v>5197.551999999998</x:v>
      </x:c>
      <x:c r="C6" s="73" t="n">
        <x:f>('Assumptions'!$C$7*'Assumptions'!$C$8*$A6*C$4*(1+'Assumptions'!$E$18))-('Assumptions'!$C$10*'Assumptions'!$C$26*12+'Assumptions'!$C$27+'Assumptions'!$C$28+'Assumptions'!$C$29)-('Assumptions'!$C$7*'Assumptions'!$C$8*$A6*C$4*(1+'Assumptions'!$E$18))*SUM('Assumptions'!$E$19:$E$22)</x:f>
        <x:v>8705.056000000002</x:v>
      </x:c>
      <x:c r="D6" s="73" t="n">
        <x:f>('Assumptions'!$C$7*'Assumptions'!$C$8*$A6*D$4*(1+'Assumptions'!$E$18))-('Assumptions'!$C$10*'Assumptions'!$C$26*12+'Assumptions'!$C$27+'Assumptions'!$C$28+'Assumptions'!$C$29)-('Assumptions'!$C$7*'Assumptions'!$C$8*$A6*D$4*(1+'Assumptions'!$E$18))*SUM('Assumptions'!$E$19:$E$22)</x:f>
        <x:v>12212.56</x:v>
      </x:c>
      <x:c r="E6" s="73" t="n">
        <x:f>('Assumptions'!$C$7*'Assumptions'!$C$8*$A6*E$4*(1+'Assumptions'!$E$18))-('Assumptions'!$C$10*'Assumptions'!$C$26*12+'Assumptions'!$C$27+'Assumptions'!$C$28+'Assumptions'!$C$29)-('Assumptions'!$C$7*'Assumptions'!$C$8*$A6*E$4*(1+'Assumptions'!$E$18))*SUM('Assumptions'!$E$19:$E$22)</x:f>
        <x:v>15720.063999999998</x:v>
      </x:c>
      <x:c r="F6" s="73" t="n">
        <x:f>('Assumptions'!$C$7*'Assumptions'!$C$8*$A6*F$4*(1+'Assumptions'!$E$18))-('Assumptions'!$C$10*'Assumptions'!$C$26*12+'Assumptions'!$C$27+'Assumptions'!$C$28+'Assumptions'!$C$29)-('Assumptions'!$C$7*'Assumptions'!$C$8*$A6*F$4*(1+'Assumptions'!$E$18))*SUM('Assumptions'!$E$19:$E$22)</x:f>
        <x:v>19227.568000000007</x:v>
      </x:c>
      <x:c r="G6" s="73" t="n">
        <x:f>('Assumptions'!$C$7*'Assumptions'!$C$8*$A6*G$4*(1+'Assumptions'!$E$18))-('Assumptions'!$C$10*'Assumptions'!$C$26*12+'Assumptions'!$C$27+'Assumptions'!$C$28+'Assumptions'!$C$29)-('Assumptions'!$C$7*'Assumptions'!$C$8*$A6*G$4*(1+'Assumptions'!$E$18))*SUM('Assumptions'!$E$19:$E$22)</x:f>
        <x:v>22735.072000000004</x:v>
      </x:c>
      <x:c r="H6" s="70"/>
    </x:row>
    <x:row r="7">
      <x:c r="A7" s="74" t="n">
        <x:v>0.55</x:v>
      </x:c>
      <x:c r="B7" s="73" t="n">
        <x:f>('Assumptions'!$C$7*'Assumptions'!$C$8*$A7*B$4*(1+'Assumptions'!$E$18))-('Assumptions'!$C$10*'Assumptions'!$C$26*12+'Assumptions'!$C$27+'Assumptions'!$C$28+'Assumptions'!$C$29)-('Assumptions'!$C$7*'Assumptions'!$C$8*$A7*B$4*(1+'Assumptions'!$E$18))*SUM('Assumptions'!$E$19:$E$22)</x:f>
        <x:v>9757.3072</x:v>
      </x:c>
      <x:c r="C7" s="73" t="n">
        <x:f>('Assumptions'!$C$7*'Assumptions'!$C$8*$A7*C$4*(1+'Assumptions'!$E$18))-('Assumptions'!$C$10*'Assumptions'!$C$26*12+'Assumptions'!$C$27+'Assumptions'!$C$28+'Assumptions'!$C$29)-('Assumptions'!$C$7*'Assumptions'!$C$8*$A7*C$4*(1+'Assumptions'!$E$18))*SUM('Assumptions'!$E$19:$E$22)</x:f>
        <x:v>13615.5616</x:v>
      </x:c>
      <x:c r="D7" s="73" t="n">
        <x:f>('Assumptions'!$C$7*'Assumptions'!$C$8*$A7*D$4*(1+'Assumptions'!$E$18))-('Assumptions'!$C$10*'Assumptions'!$C$26*12+'Assumptions'!$C$27+'Assumptions'!$C$28+'Assumptions'!$C$29)-('Assumptions'!$C$7*'Assumptions'!$C$8*$A7*D$4*(1+'Assumptions'!$E$18))*SUM('Assumptions'!$E$19:$E$22)</x:f>
        <x:v>17473.816000000003</x:v>
      </x:c>
      <x:c r="E7" s="73" t="n">
        <x:f>('Assumptions'!$C$7*'Assumptions'!$C$8*$A7*E$4*(1+'Assumptions'!$E$18))-('Assumptions'!$C$10*'Assumptions'!$C$26*12+'Assumptions'!$C$27+'Assumptions'!$C$28+'Assumptions'!$C$29)-('Assumptions'!$C$7*'Assumptions'!$C$8*$A7*E$4*(1+'Assumptions'!$E$18))*SUM('Assumptions'!$E$19:$E$22)</x:f>
        <x:v>21332.0704</x:v>
      </x:c>
      <x:c r="F7" s="73" t="n">
        <x:f>('Assumptions'!$C$7*'Assumptions'!$C$8*$A7*F$4*(1+'Assumptions'!$E$18))-('Assumptions'!$C$10*'Assumptions'!$C$26*12+'Assumptions'!$C$27+'Assumptions'!$C$28+'Assumptions'!$C$29)-('Assumptions'!$C$7*'Assumptions'!$C$8*$A7*F$4*(1+'Assumptions'!$E$18))*SUM('Assumptions'!$E$19:$E$22)</x:f>
        <x:v>25190.324800000002</x:v>
      </x:c>
      <x:c r="G7" s="73" t="n">
        <x:f>('Assumptions'!$C$7*'Assumptions'!$C$8*$A7*G$4*(1+'Assumptions'!$E$18))-('Assumptions'!$C$10*'Assumptions'!$C$26*12+'Assumptions'!$C$27+'Assumptions'!$C$28+'Assumptions'!$C$29)-('Assumptions'!$C$7*'Assumptions'!$C$8*$A7*G$4*(1+'Assumptions'!$E$18))*SUM('Assumptions'!$E$19:$E$22)</x:f>
        <x:v>29048.579200000004</x:v>
      </x:c>
      <x:c r="H7" s="70"/>
    </x:row>
    <x:row r="8">
      <x:c r="A8" s="74" t="n">
        <x:v>0.6</x:v>
      </x:c>
      <x:c r="B8" s="73" t="n">
        <x:f>('Assumptions'!$C$7*'Assumptions'!$C$8*$A8*B$4*(1+'Assumptions'!$E$18))-('Assumptions'!$C$10*'Assumptions'!$C$26*12+'Assumptions'!$C$27+'Assumptions'!$C$28+'Assumptions'!$C$29)-('Assumptions'!$C$7*'Assumptions'!$C$8*$A8*B$4*(1+'Assumptions'!$E$18))*SUM('Assumptions'!$E$19:$E$22)</x:f>
        <x:v>14317.062399999995</x:v>
      </x:c>
      <x:c r="C8" s="73" t="n">
        <x:f>('Assumptions'!$C$7*'Assumptions'!$C$8*$A8*C$4*(1+'Assumptions'!$E$18))-('Assumptions'!$C$10*'Assumptions'!$C$26*12+'Assumptions'!$C$27+'Assumptions'!$C$28+'Assumptions'!$C$29)-('Assumptions'!$C$7*'Assumptions'!$C$8*$A8*C$4*(1+'Assumptions'!$E$18))*SUM('Assumptions'!$E$19:$E$22)</x:f>
        <x:v>18526.0672</x:v>
      </x:c>
      <x:c r="D8" s="73" t="n">
        <x:f>('Assumptions'!$C$7*'Assumptions'!$C$8*$A8*D$4*(1+'Assumptions'!$E$18))-('Assumptions'!$C$10*'Assumptions'!$C$26*12+'Assumptions'!$C$27+'Assumptions'!$C$28+'Assumptions'!$C$29)-('Assumptions'!$C$7*'Assumptions'!$C$8*$A8*D$4*(1+'Assumptions'!$E$18))*SUM('Assumptions'!$E$19:$E$22)</x:f>
        <x:v>22735.072000000004</x:v>
      </x:c>
      <x:c r="E8" s="73" t="n">
        <x:f>('Assumptions'!$C$7*'Assumptions'!$C$8*$A8*E$4*(1+'Assumptions'!$E$18))-('Assumptions'!$C$10*'Assumptions'!$C$26*12+'Assumptions'!$C$27+'Assumptions'!$C$28+'Assumptions'!$C$29)-('Assumptions'!$C$7*'Assumptions'!$C$8*$A8*E$4*(1+'Assumptions'!$E$18))*SUM('Assumptions'!$E$19:$E$22)</x:f>
        <x:v>26944.076799999995</x:v>
      </x:c>
      <x:c r="F8" s="73" t="n">
        <x:f>('Assumptions'!$C$7*'Assumptions'!$C$8*$A8*F$4*(1+'Assumptions'!$E$18))-('Assumptions'!$C$10*'Assumptions'!$C$26*12+'Assumptions'!$C$27+'Assumptions'!$C$28+'Assumptions'!$C$29)-('Assumptions'!$C$7*'Assumptions'!$C$8*$A8*F$4*(1+'Assumptions'!$E$18))*SUM('Assumptions'!$E$19:$E$22)</x:f>
        <x:v>31153.0816</x:v>
      </x:c>
      <x:c r="G8" s="73" t="n">
        <x:f>('Assumptions'!$C$7*'Assumptions'!$C$8*$A8*G$4*(1+'Assumptions'!$E$18))-('Assumptions'!$C$10*'Assumptions'!$C$26*12+'Assumptions'!$C$27+'Assumptions'!$C$28+'Assumptions'!$C$29)-('Assumptions'!$C$7*'Assumptions'!$C$8*$A8*G$4*(1+'Assumptions'!$E$18))*SUM('Assumptions'!$E$19:$E$22)</x:f>
        <x:v>35362.0864</x:v>
      </x:c>
      <x:c r="H8" s="70"/>
    </x:row>
    <x:row r="9">
      <x:c r="A9" s="74" t="n">
        <x:v>0.65</x:v>
      </x:c>
      <x:c r="B9" s="73" t="n">
        <x:f>('Assumptions'!$C$7*'Assumptions'!$C$8*$A9*B$4*(1+'Assumptions'!$E$18))-('Assumptions'!$C$10*'Assumptions'!$C$26*12+'Assumptions'!$C$27+'Assumptions'!$C$28+'Assumptions'!$C$29)-('Assumptions'!$C$7*'Assumptions'!$C$8*$A9*B$4*(1+'Assumptions'!$E$18))*SUM('Assumptions'!$E$19:$E$22)</x:f>
        <x:v>18876.817600000002</x:v>
      </x:c>
      <x:c r="C9" s="73" t="n">
        <x:f>('Assumptions'!$C$7*'Assumptions'!$C$8*$A9*C$4*(1+'Assumptions'!$E$18))-('Assumptions'!$C$10*'Assumptions'!$C$26*12+'Assumptions'!$C$27+'Assumptions'!$C$28+'Assumptions'!$C$29)-('Assumptions'!$C$7*'Assumptions'!$C$8*$A9*C$4*(1+'Assumptions'!$E$18))*SUM('Assumptions'!$E$19:$E$22)</x:f>
        <x:v>23436.572799999998</x:v>
      </x:c>
      <x:c r="D9" s="73" t="n">
        <x:f>('Assumptions'!$C$7*'Assumptions'!$C$8*$A9*D$4*(1+'Assumptions'!$E$18))-('Assumptions'!$C$10*'Assumptions'!$C$26*12+'Assumptions'!$C$27+'Assumptions'!$C$28+'Assumptions'!$C$29)-('Assumptions'!$C$7*'Assumptions'!$C$8*$A9*D$4*(1+'Assumptions'!$E$18))*SUM('Assumptions'!$E$19:$E$22)</x:f>
        <x:v>27996.328000000005</x:v>
      </x:c>
      <x:c r="E9" s="73" t="n">
        <x:f>('Assumptions'!$C$7*'Assumptions'!$C$8*$A9*E$4*(1+'Assumptions'!$E$18))-('Assumptions'!$C$10*'Assumptions'!$C$26*12+'Assumptions'!$C$27+'Assumptions'!$C$28+'Assumptions'!$C$29)-('Assumptions'!$C$7*'Assumptions'!$C$8*$A9*E$4*(1+'Assumptions'!$E$18))*SUM('Assumptions'!$E$19:$E$22)</x:f>
        <x:v>32556.0832</x:v>
      </x:c>
      <x:c r="F9" s="73" t="n">
        <x:f>('Assumptions'!$C$7*'Assumptions'!$C$8*$A9*F$4*(1+'Assumptions'!$E$18))-('Assumptions'!$C$10*'Assumptions'!$C$26*12+'Assumptions'!$C$27+'Assumptions'!$C$28+'Assumptions'!$C$29)-('Assumptions'!$C$7*'Assumptions'!$C$8*$A9*F$4*(1+'Assumptions'!$E$18))*SUM('Assumptions'!$E$19:$E$22)</x:f>
        <x:v>37115.83839999999</x:v>
      </x:c>
      <x:c r="G9" s="73" t="n">
        <x:f>('Assumptions'!$C$7*'Assumptions'!$C$8*$A9*G$4*(1+'Assumptions'!$E$18))-('Assumptions'!$C$10*'Assumptions'!$C$26*12+'Assumptions'!$C$27+'Assumptions'!$C$28+'Assumptions'!$C$29)-('Assumptions'!$C$7*'Assumptions'!$C$8*$A9*G$4*(1+'Assumptions'!$E$18))*SUM('Assumptions'!$E$19:$E$22)</x:f>
        <x:v>41675.59360000001</x:v>
      </x:c>
      <x:c r="H9" s="70"/>
    </x:row>
    <x:row r="10">
      <x:c r="A10" s="74" t="n">
        <x:v>0.7</x:v>
      </x:c>
      <x:c r="B10" s="73" t="n">
        <x:f>('Assumptions'!$C$7*'Assumptions'!$C$8*$A10*B$4*(1+'Assumptions'!$E$18))-('Assumptions'!$C$10*'Assumptions'!$C$26*12+'Assumptions'!$C$27+'Assumptions'!$C$28+'Assumptions'!$C$29)-('Assumptions'!$C$7*'Assumptions'!$C$8*$A10*B$4*(1+'Assumptions'!$E$18))*SUM('Assumptions'!$E$19:$E$22)</x:f>
        <x:v>23436.572799999998</x:v>
      </x:c>
      <x:c r="C10" s="73" t="n">
        <x:f>('Assumptions'!$C$7*'Assumptions'!$C$8*$A10*C$4*(1+'Assumptions'!$E$18))-('Assumptions'!$C$10*'Assumptions'!$C$26*12+'Assumptions'!$C$27+'Assumptions'!$C$28+'Assumptions'!$C$29)-('Assumptions'!$C$7*'Assumptions'!$C$8*$A10*C$4*(1+'Assumptions'!$E$18))*SUM('Assumptions'!$E$19:$E$22)</x:f>
        <x:v>28347.0784</x:v>
      </x:c>
      <x:c r="D10" s="73" t="n">
        <x:f>('Assumptions'!$C$7*'Assumptions'!$C$8*$A10*D$4*(1+'Assumptions'!$E$18))-('Assumptions'!$C$10*'Assumptions'!$C$26*12+'Assumptions'!$C$27+'Assumptions'!$C$28+'Assumptions'!$C$29)-('Assumptions'!$C$7*'Assumptions'!$C$8*$A10*D$4*(1+'Assumptions'!$E$18))*SUM('Assumptions'!$E$19:$E$22)</x:f>
        <x:v>33257.583999999995</x:v>
      </x:c>
      <x:c r="E10" s="73" t="n">
        <x:f>('Assumptions'!$C$7*'Assumptions'!$C$8*$A10*E$4*(1+'Assumptions'!$E$18))-('Assumptions'!$C$10*'Assumptions'!$C$26*12+'Assumptions'!$C$27+'Assumptions'!$C$28+'Assumptions'!$C$29)-('Assumptions'!$C$7*'Assumptions'!$C$8*$A10*E$4*(1+'Assumptions'!$E$18))*SUM('Assumptions'!$E$19:$E$22)</x:f>
        <x:v>38168.08960000001</x:v>
      </x:c>
      <x:c r="F10" s="73" t="n">
        <x:f>('Assumptions'!$C$7*'Assumptions'!$C$8*$A10*F$4*(1+'Assumptions'!$E$18))-('Assumptions'!$C$10*'Assumptions'!$C$26*12+'Assumptions'!$C$27+'Assumptions'!$C$28+'Assumptions'!$C$29)-('Assumptions'!$C$7*'Assumptions'!$C$8*$A10*F$4*(1+'Assumptions'!$E$18))*SUM('Assumptions'!$E$19:$E$22)</x:f>
        <x:v>43078.59520000001</x:v>
      </x:c>
      <x:c r="G10" s="73" t="n">
        <x:f>('Assumptions'!$C$7*'Assumptions'!$C$8*$A10*G$4*(1+'Assumptions'!$E$18))-('Assumptions'!$C$10*'Assumptions'!$C$26*12+'Assumptions'!$C$27+'Assumptions'!$C$28+'Assumptions'!$C$29)-('Assumptions'!$C$7*'Assumptions'!$C$8*$A10*G$4*(1+'Assumptions'!$E$18))*SUM('Assumptions'!$E$19:$E$22)</x:f>
        <x:v>47989.1008</x:v>
      </x:c>
      <x:c r="H10" s="70"/>
    </x:row>
    <x:row r="11">
      <x:c r="A11" s="74" t="n">
        <x:v>0.75</x:v>
      </x:c>
      <x:c r="B11" s="73" t="n">
        <x:f>('Assumptions'!$C$7*'Assumptions'!$C$8*$A11*B$4*(1+'Assumptions'!$E$18))-('Assumptions'!$C$10*'Assumptions'!$C$26*12+'Assumptions'!$C$27+'Assumptions'!$C$28+'Assumptions'!$C$29)-('Assumptions'!$C$7*'Assumptions'!$C$8*$A11*B$4*(1+'Assumptions'!$E$18))*SUM('Assumptions'!$E$19:$E$22)</x:f>
        <x:v>27996.328000000005</x:v>
      </x:c>
      <x:c r="C11" s="73" t="n">
        <x:f>('Assumptions'!$C$7*'Assumptions'!$C$8*$A11*C$4*(1+'Assumptions'!$E$18))-('Assumptions'!$C$10*'Assumptions'!$C$26*12+'Assumptions'!$C$27+'Assumptions'!$C$28+'Assumptions'!$C$29)-('Assumptions'!$C$7*'Assumptions'!$C$8*$A11*C$4*(1+'Assumptions'!$E$18))*SUM('Assumptions'!$E$19:$E$22)</x:f>
        <x:v>33257.583999999995</x:v>
      </x:c>
      <x:c r="D11" s="73" t="n">
        <x:f>('Assumptions'!$C$7*'Assumptions'!$C$8*$A11*D$4*(1+'Assumptions'!$E$18))-('Assumptions'!$C$10*'Assumptions'!$C$26*12+'Assumptions'!$C$27+'Assumptions'!$C$28+'Assumptions'!$C$29)-('Assumptions'!$C$7*'Assumptions'!$C$8*$A11*D$4*(1+'Assumptions'!$E$18))*SUM('Assumptions'!$E$19:$E$22)</x:f>
        <x:v>38518.84</x:v>
      </x:c>
      <x:c r="E11" s="73" t="n">
        <x:f>('Assumptions'!$C$7*'Assumptions'!$C$8*$A11*E$4*(1+'Assumptions'!$E$18))-('Assumptions'!$C$10*'Assumptions'!$C$26*12+'Assumptions'!$C$27+'Assumptions'!$C$28+'Assumptions'!$C$29)-('Assumptions'!$C$7*'Assumptions'!$C$8*$A11*E$4*(1+'Assumptions'!$E$18))*SUM('Assumptions'!$E$19:$E$22)</x:f>
        <x:v>43780.096000000005</x:v>
      </x:c>
      <x:c r="F11" s="73" t="n">
        <x:f>('Assumptions'!$C$7*'Assumptions'!$C$8*$A11*F$4*(1+'Assumptions'!$E$18))-('Assumptions'!$C$10*'Assumptions'!$C$26*12+'Assumptions'!$C$27+'Assumptions'!$C$28+'Assumptions'!$C$29)-('Assumptions'!$C$7*'Assumptions'!$C$8*$A11*F$4*(1+'Assumptions'!$E$18))*SUM('Assumptions'!$E$19:$E$22)</x:f>
        <x:v>49041.352</x:v>
      </x:c>
      <x:c r="G11" s="73" t="n">
        <x:f>('Assumptions'!$C$7*'Assumptions'!$C$8*$A11*G$4*(1+'Assumptions'!$E$18))-('Assumptions'!$C$10*'Assumptions'!$C$26*12+'Assumptions'!$C$27+'Assumptions'!$C$28+'Assumptions'!$C$29)-('Assumptions'!$C$7*'Assumptions'!$C$8*$A11*G$4*(1+'Assumptions'!$E$18))*SUM('Assumptions'!$E$19:$E$22)</x:f>
        <x:v>54302.60800000001</x:v>
      </x:c>
      <x:c r="H11" s="70"/>
    </x:row>
    <x:row r="12">
      <x:c r="A12" s="70"/>
      <x:c r="B12" s="70"/>
      <x:c r="C12" s="70"/>
      <x:c r="D12" s="70"/>
      <x:c r="E12" s="70"/>
      <x:c r="F12" s="70"/>
      <x:c r="G12" s="70"/>
      <x:c r="H12" s="70"/>
    </x:row>
    <x:row r="13">
      <x:c r="A13" s="70"/>
      <x:c r="B13" s="70"/>
      <x:c r="C13" s="70"/>
      <x:c r="D13" s="70"/>
      <x:c r="E13" s="70"/>
      <x:c r="F13" s="70"/>
      <x:c r="G13" s="70"/>
      <x:c r="H13" s="70"/>
    </x:row>
    <x:row r="14">
      <x:c r="A14" s="72" t="str">
        <x:v>Scenario</x:v>
      </x:c>
      <x:c r="B14" s="72" t="str">
        <x:v>Occupancy</x:v>
      </x:c>
      <x:c r="C14" s="72" t="str">
        <x:v>ADR</x:v>
      </x:c>
      <x:c r="D14" s="72" t="str">
        <x:v>Operating result</x:v>
      </x:c>
      <x:c r="E14" s="70"/>
      <x:c r="F14" s="70"/>
      <x:c r="G14" s="70"/>
      <x:c r="H14" s="70"/>
    </x:row>
    <x:row r="15">
      <x:c r="A15" s="70" t="str">
        <x:v>Downside</x:v>
      </x:c>
      <x:c r="B15" s="74" t="n">
        <x:v>0.5</x:v>
      </x:c>
      <x:c r="C15" s="73" t="n">
        <x:v>28</x:v>
      </x:c>
      <x:c r="D15" s="73" t="n">
        <x:f>('Assumptions'!$C$7*'Assumptions'!$C$8*B15*C15*(1+'Assumptions'!$E$18))-('Assumptions'!$C$10*'Assumptions'!$C$26*12+'Assumptions'!$C$27+'Assumptions'!$C$28+'Assumptions'!$C$29)-('Assumptions'!$C$7*'Assumptions'!$C$8*B15*C15*(1+'Assumptions'!$E$18))*SUM('Assumptions'!$E$19:$E$22)</x:f>
        <x:v>8705.056000000002</x:v>
      </x:c>
      <x:c r="E15" s="70"/>
      <x:c r="F15" s="70"/>
      <x:c r="G15" s="70"/>
      <x:c r="H15" s="70"/>
    </x:row>
    <x:row r="16">
      <x:c r="A16" s="70" t="str">
        <x:v>Year 2 base</x:v>
      </x:c>
      <x:c r="B16" s="74" t="n">
        <x:v>0.625</x:v>
      </x:c>
      <x:c r="C16" s="73" t="n">
        <x:v>30</x:v>
      </x:c>
      <x:c r="D16" s="73" t="n">
        <x:f>('Assumptions'!$C$7*'Assumptions'!$C$8*B16*C16*(1+'Assumptions'!$E$18))-('Assumptions'!$C$10*'Assumptions'!$C$26*12+'Assumptions'!$C$27+'Assumptions'!$C$28+'Assumptions'!$C$29)-('Assumptions'!$C$7*'Assumptions'!$C$8*B16*C16*(1+'Assumptions'!$E$18))*SUM('Assumptions'!$E$19:$E$22)</x:f>
        <x:v>25365.7</x:v>
      </x:c>
      <x:c r="E16" s="70"/>
      <x:c r="F16" s="70"/>
      <x:c r="G16" s="70"/>
      <x:c r="H16" s="70"/>
    </x:row>
    <x:row r="17">
      <x:c r="A17" s="70" t="str">
        <x:v>Mature base</x:v>
      </x:c>
      <x:c r="B17" s="74" t="n">
        <x:v>0.7</x:v>
      </x:c>
      <x:c r="C17" s="73" t="n">
        <x:v>32</x:v>
      </x:c>
      <x:c r="D17" s="73" t="n">
        <x:f>('Assumptions'!$C$7*'Assumptions'!$C$8*B17*C17*(1+'Assumptions'!$E$18))-('Assumptions'!$C$10*'Assumptions'!$C$26*12+'Assumptions'!$C$27+'Assumptions'!$C$28+'Assumptions'!$C$29)-('Assumptions'!$C$7*'Assumptions'!$C$8*B17*C17*(1+'Assumptions'!$E$18))*SUM('Assumptions'!$E$19:$E$22)</x:f>
        <x:v>38168.08960000001</x:v>
      </x:c>
      <x:c r="E17" s="70"/>
      <x:c r="F17" s="70"/>
      <x:c r="G17" s="70"/>
      <x:c r="H17" s="70"/>
    </x:row>
    <x:row r="18">
      <x:c r="A18" s="70" t="str">
        <x:v>Upside</x:v>
      </x:c>
      <x:c r="B18" s="74" t="n">
        <x:v>0.75</x:v>
      </x:c>
      <x:c r="C18" s="73" t="n">
        <x:v>36</x:v>
      </x:c>
      <x:c r="D18" s="73" t="n">
        <x:f>('Assumptions'!$C$7*'Assumptions'!$C$8*B18*C18*(1+'Assumptions'!$E$18))-('Assumptions'!$C$10*'Assumptions'!$C$26*12+'Assumptions'!$C$27+'Assumptions'!$C$28+'Assumptions'!$C$29)-('Assumptions'!$C$7*'Assumptions'!$C$8*B18*C18*(1+'Assumptions'!$E$18))*SUM('Assumptions'!$E$19:$E$22)</x:f>
        <x:v>54302.60800000001</x:v>
      </x:c>
      <x:c r="E18" s="70"/>
      <x:c r="F18" s="70"/>
      <x:c r="G18" s="70"/>
      <x:c r="H18" s="70"/>
    </x:row>
    <x:row r="19">
      <x:c r="A19" s="70" t="str">
        <x:v>Note</x:v>
      </x:c>
      <x:c r="B19" s="70" t="str"/>
      <x:c r="C19" s="70" t="str"/>
      <x:c r="D19" s="70" t="str">
        <x:v>Illustrative, not a forecast</x:v>
      </x:c>
      <x:c r="E19" s="70"/>
      <x:c r="F19" s="70"/>
      <x:c r="G19" s="70"/>
      <x:c r="H19" s="70"/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  <x:col min="8" max="8" width="48" hidden="0" customWidth="1"/>
  </x:cols>
  <x:sheetData>
    <x:row r="1" ht="34" customHeight="1">
      <x:c r="A1" s="111" t="str">
        <x:v>CURRENT PRUDENT COST REVIEW</x:v>
      </x:c>
      <x:c r="B1" s="111" t="str">
        <x:v>CURRENT PRUDENT COST REVIEW</x:v>
      </x:c>
      <x:c r="C1" s="111" t="str">
        <x:v>CURRENT PRUDENT COST REVIEW</x:v>
      </x:c>
      <x:c r="D1" s="111" t="str">
        <x:v>CURRENT PRUDENT COST REVIEW</x:v>
      </x:c>
      <x:c r="E1" s="111" t="str">
        <x:v>CURRENT PRUDENT COST REVIEW</x:v>
      </x:c>
      <x:c r="F1" s="111" t="str">
        <x:v>CURRENT PRUDENT COST REVIEW</x:v>
      </x:c>
      <x:c r="G1" s="111" t="str">
        <x:v>CURRENT PRUDENT COST REVIEW</x:v>
      </x:c>
      <x:c r="H1" s="111" t="str">
        <x:v>CURRENT PRUDENT COST REVIEW</x:v>
      </x:c>
    </x:row>
    <x:row r="2" ht="30" customHeight="1">
      <x:c r="A2" s="69" t="str">
        <x:v>The audited allowances are now included in the primary case. Replace them with signed quotes and local professional calculations.</x:v>
      </x:c>
      <x:c r="B2" s="69" t="str">
        <x:v>The audited allowances are now included in the primary case. Replace them with signed quotes and local professional calculations.</x:v>
      </x:c>
      <x:c r="C2" s="69" t="str">
        <x:v>The audited allowances are now included in the primary case. Replace them with signed quotes and local professional calculations.</x:v>
      </x:c>
      <x:c r="D2" s="69" t="str">
        <x:v>The audited allowances are now included in the primary case. Replace them with signed quotes and local professional calculations.</x:v>
      </x:c>
      <x:c r="E2" s="69" t="str">
        <x:v>The audited allowances are now included in the primary case. Replace them with signed quotes and local professional calculations.</x:v>
      </x:c>
      <x:c r="F2" s="69" t="str">
        <x:v>The audited allowances are now included in the primary case. Replace them with signed quotes and local professional calculations.</x:v>
      </x:c>
      <x:c r="G2" s="69" t="str">
        <x:v>The audited allowances are now included in the primary case. Replace them with signed quotes and local professional calculations.</x:v>
      </x:c>
      <x:c r="H2" s="69" t="str">
        <x:v>The audited allowances are now included in the primary case. Replace them with signed quotes and local professional calculations.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Operating item</x:v>
      </x:c>
      <x:c r="B4" s="97" t="str">
        <x:v>Current case</x:v>
      </x:c>
      <x:c r="C4" s="97" t="str">
        <x:v>Further adjustment</x:v>
      </x:c>
      <x:c r="D4" s="97" t="str">
        <x:v>Reviewed case</x:v>
      </x:c>
      <x:c r="E4" s="97" t="str">
        <x:v>% revenue</x:v>
      </x:c>
      <x:c r="F4" s="97" t="str">
        <x:v>Assessment</x:v>
      </x:c>
      <x:c r="G4" s="97" t="str">
        <x:v>Priority</x:v>
      </x:c>
      <x:c r="H4" s="97" t="str">
        <x:v>Reason / validation needed</x:v>
      </x:c>
    </x:row>
    <x:row r="5" ht="32" customHeight="1">
      <x:c r="A5" s="100" t="str">
        <x:v>Payroll - 4 core staff</x:v>
      </x:c>
      <x:c r="B5" s="101" t="n">
        <x:f>'Operating Costs'!B5</x:f>
        <x:v>14400</x:v>
      </x:c>
      <x:c r="C5" s="102" t="n">
        <x:v>0</x:v>
      </x:c>
      <x:c r="D5" s="101" t="n">
        <x:f>B5+C5</x:f>
        <x:v>14400</x:v>
      </x:c>
      <x:c r="E5" s="103" t="n">
        <x:f>D5/'Revenue Model'!B12</x:f>
        <x:v>0.22580159566460936</x:v>
      </x:c>
      <x:c r="F5" s="100" t="str">
        <x:v>Reasonable if fully loaded</x:v>
      </x:c>
      <x:c r="G5" s="100" t="str">
        <x:v>Medium</x:v>
      </x:c>
      <x:c r="H5" s="100" t="str">
        <x:v>Confirm role mix, THR and BPJS are included</x:v>
      </x:c>
    </x:row>
    <x:row r="6" ht="32" customHeight="1">
      <x:c r="A6" s="100" t="str">
        <x:v>Management &amp; other fixed operations</x:v>
      </x:c>
      <x:c r="B6" s="101" t="n">
        <x:f>'Operating Costs'!B6</x:f>
        <x:v>18000</x:v>
      </x:c>
      <x:c r="C6" s="104" t="n">
        <x:v>0</x:v>
      </x:c>
      <x:c r="D6" s="101" t="n">
        <x:f>B6+C6</x:f>
        <x:v>18000</x:v>
      </x:c>
      <x:c r="E6" s="103" t="n">
        <x:f>D6/'Revenue Model'!B12</x:f>
        <x:v>0.28225199458076167</x:v>
      </x:c>
      <x:c r="F6" s="100" t="str">
        <x:v>Allowance included</x:v>
      </x:c>
      <x:c r="G6" s="100" t="str">
        <x:v>High</x:v>
      </x:c>
      <x:c r="H6" s="100" t="str">
        <x:v>Includes €12k founder/GM plus €6k operating support</x:v>
      </x:c>
    </x:row>
    <x:row r="7" ht="32" customHeight="1">
      <x:c r="A7" s="100" t="str">
        <x:v>Insurance, admin &amp; professional</x:v>
      </x:c>
      <x:c r="B7" s="101" t="n">
        <x:f>'Operating Costs'!B7</x:f>
        <x:v>4000</x:v>
      </x:c>
      <x:c r="C7" s="104" t="n">
        <x:v>0</x:v>
      </x:c>
      <x:c r="D7" s="101" t="n">
        <x:f>B7+C7</x:f>
        <x:v>4000</x:v>
      </x:c>
      <x:c r="E7" s="103" t="n">
        <x:f>D7/'Revenue Model'!B12</x:f>
        <x:v>0.06272266546239148</x:v>
      </x:c>
      <x:c r="F7" s="100" t="str">
        <x:v>Allowance increased</x:v>
      </x:c>
      <x:c r="G7" s="100" t="str">
        <x:v>High</x:v>
      </x:c>
      <x:c r="H7" s="100" t="str">
        <x:v>Validate PMA, accounting, tax, legal, licences and insurance</x:v>
      </x:c>
    </x:row>
    <x:row r="8" ht="32" customHeight="1">
      <x:c r="A8" s="100" t="str">
        <x:v>Sales &amp; brand</x:v>
      </x:c>
      <x:c r="B8" s="101" t="n">
        <x:f>'Operating Costs'!B8</x:f>
        <x:v>4000</x:v>
      </x:c>
      <x:c r="C8" s="104" t="n">
        <x:v>0</x:v>
      </x:c>
      <x:c r="D8" s="101" t="n">
        <x:f>B8+C8</x:f>
        <x:v>4000</x:v>
      </x:c>
      <x:c r="E8" s="103" t="n">
        <x:f>D8/'Revenue Model'!B12</x:f>
        <x:v>0.06272266546239148</x:v>
      </x:c>
      <x:c r="F8" s="100" t="str">
        <x:v>Launch allowance included</x:v>
      </x:c>
      <x:c r="G8" s="100" t="str">
        <x:v>High</x:v>
      </x:c>
      <x:c r="H8" s="100" t="str">
        <x:v>Replace with a dated channel and launch plan</x:v>
      </x:c>
    </x:row>
    <x:row r="9" ht="32" customHeight="1">
      <x:c r="A9" s="100" t="str">
        <x:v>OTA &amp; payment fees</x:v>
      </x:c>
      <x:c r="B9" s="101" t="n">
        <x:f>'Operating Costs'!B9</x:f>
        <x:v>5548.2336</x:v>
      </x:c>
      <x:c r="C9" s="104" t="n">
        <x:v>0</x:v>
      </x:c>
      <x:c r="D9" s="101" t="n">
        <x:f>B9+C9</x:f>
        <x:v>5548.2336</x:v>
      </x:c>
      <x:c r="E9" s="103" t="n">
        <x:f>D9/'Revenue Model'!B12</x:f>
        <x:v>0.087</x:v>
      </x:c>
      <x:c r="F9" s="100" t="str">
        <x:v>Prudent channel mix</x:v>
      </x:c>
      <x:c r="G9" s="100" t="str">
        <x:v>High</x:v>
      </x:c>
      <x:c r="H9" s="100" t="str">
        <x:v>Model actual OTA share x commission plus direct payment fees</x:v>
      </x:c>
    </x:row>
    <x:row r="10" ht="32" customHeight="1">
      <x:c r="A10" s="100" t="str">
        <x:v>Utilities</x:v>
      </x:c>
      <x:c r="B10" s="101" t="n">
        <x:f>'Operating Costs'!B10</x:f>
        <x:v>5101.8240000000005</x:v>
      </x:c>
      <x:c r="C10" s="104" t="n">
        <x:v>0</x:v>
      </x:c>
      <x:c r="D10" s="101" t="n">
        <x:f>B10+C10</x:f>
        <x:v>5101.8240000000005</x:v>
      </x:c>
      <x:c r="E10" s="103" t="n">
        <x:f>D10/'Revenue Model'!B12</x:f>
        <x:v>0.08</x:v>
      </x:c>
      <x:c r="F10" s="100" t="str">
        <x:v>Plausible</x:v>
      </x:c>
      <x:c r="G10" s="100" t="str">
        <x:v>Medium</x:v>
      </x:c>
      <x:c r="H10" s="100" t="str">
        <x:v>Convert to consumption-based electricity/water model</x:v>
      </x:c>
    </x:row>
    <x:row r="11" ht="32" customHeight="1">
      <x:c r="A11" s="100" t="str">
        <x:v>Cleaning &amp; guest supplies</x:v>
      </x:c>
      <x:c r="B11" s="101" t="n">
        <x:f>'Operating Costs'!B11</x:f>
        <x:v>3188.6400000000003</x:v>
      </x:c>
      <x:c r="C11" s="104" t="n">
        <x:v>0</x:v>
      </x:c>
      <x:c r="D11" s="101" t="n">
        <x:f>B11+C11</x:f>
        <x:v>3188.6400000000003</x:v>
      </x:c>
      <x:c r="E11" s="103" t="n">
        <x:f>D11/'Revenue Model'!B12</x:f>
        <x:v>0.05</x:v>
      </x:c>
      <x:c r="F11" s="100" t="str">
        <x:v>Plausible</x:v>
      </x:c>
      <x:c r="G11" s="100" t="str">
        <x:v>Medium</x:v>
      </x:c>
      <x:c r="H11" s="100" t="str">
        <x:v>Confirm laundry, linen and guest consumables</x:v>
      </x:c>
    </x:row>
    <x:row r="12" ht="32" customHeight="1">
      <x:c r="A12" s="100" t="str">
        <x:v>Repairs &amp; maintenance</x:v>
      </x:c>
      <x:c r="B12" s="101" t="n">
        <x:f>'Operating Costs'!B12</x:f>
        <x:v>1913.184</x:v>
      </x:c>
      <x:c r="C12" s="104" t="n">
        <x:v>0</x:v>
      </x:c>
      <x:c r="D12" s="101" t="n">
        <x:f>B12+C12</x:f>
        <x:v>1913.184</x:v>
      </x:c>
      <x:c r="E12" s="103" t="n">
        <x:f>D12/'Revenue Model'!B12</x:f>
        <x:v>0.03</x:v>
      </x:c>
      <x:c r="F12" s="100" t="str">
        <x:v>Plausible with reserve</x:v>
      </x:c>
      <x:c r="G12" s="100" t="str">
        <x:v>Medium</x:v>
      </x:c>
      <x:c r="H12" s="100" t="str">
        <x:v>Validate contractor and equipment service plans</x:v>
      </x:c>
    </x:row>
    <x:row r="13" ht="32" customHeight="1">
      <x:c r="A13" s="100" t="str">
        <x:v>Additional audit adjustment</x:v>
      </x:c>
      <x:c r="B13" s="101" t="n">
        <x:f>0</x:f>
        <x:v>0</x:v>
      </x:c>
      <x:c r="C13" s="105" t="n">
        <x:v>0</x:v>
      </x:c>
      <x:c r="D13" s="101" t="n">
        <x:f>B13+C13</x:f>
        <x:v>0</x:v>
      </x:c>
      <x:c r="E13" s="103" t="n">
        <x:f>D13/'Revenue Model'!B12</x:f>
        <x:v>0</x:v>
      </x:c>
      <x:c r="F13" s="100" t="str">
        <x:v>None currently</x:v>
      </x:c>
      <x:c r="G13" s="100" t="str">
        <x:v>Medium</x:v>
      </x:c>
      <x:c r="H13" s="100" t="str">
        <x:v>Use only for newly identified items</x:v>
      </x:c>
    </x:row>
    <x:row r="14" ht="32" customHeight="1">
      <x:c r="A14" s="106" t="str">
        <x:v>Total operating costs</x:v>
      </x:c>
      <x:c r="B14" s="107" t="n">
        <x:f>'Operating Costs'!B13</x:f>
        <x:v>56151.8816</x:v>
      </x:c>
      <x:c r="C14" s="107" t="n">
        <x:f>SUM(C5:C13)</x:f>
        <x:v>0</x:v>
      </x:c>
      <x:c r="D14" s="107" t="n">
        <x:f>SUM(D5:D13)</x:f>
        <x:v>56151.8816</x:v>
      </x:c>
      <x:c r="E14" s="108" t="n">
        <x:f>D14/'Revenue Model'!B12</x:f>
        <x:v>0.880498921170154</x:v>
      </x:c>
      <x:c r="F14" s="100" t="str">
        <x:v>Audited allowances included</x:v>
      </x:c>
      <x:c r="G14" s="100" t="str">
        <x:v>High</x:v>
      </x:c>
      <x:c r="H14" s="100" t="str">
        <x:v>Primary P&amp;L now uses the reviewed cost base</x:v>
      </x:c>
    </x:row>
    <x:row r="15" ht="32" customHeight="1">
      <x:c r="A15" s="106" t="str">
        <x:v>Normalized operating result</x:v>
      </x:c>
      <x:c r="B15" s="107" t="n">
        <x:f>'P&amp;L'!B9</x:f>
        <x:v>7620.918400000002</x:v>
      </x:c>
      <x:c r="C15" s="107" t="n">
        <x:f>-C14</x:f>
        <x:v>0</x:v>
      </x:c>
      <x:c r="D15" s="107" t="n">
        <x:f>'Revenue Model'!B12-D14</x:f>
        <x:v>7620.918400000002</x:v>
      </x:c>
      <x:c r="E15" s="108" t="n">
        <x:f>D15/'Revenue Model'!B12</x:f>
        <x:v>0.11950107882984598</x:v>
      </x:c>
      <x:c r="F15" s="100" t="str">
        <x:v>Management cost included</x:v>
      </x:c>
      <x:c r="G15" s="100" t="str">
        <x:v>High</x:v>
      </x:c>
      <x:c r="H15" s="100" t="str">
        <x:v>Still illustrative until local evidence replaces allowances</x:v>
      </x:c>
    </x:row>
    <x:row r="16">
      <x:c r="A16" s="70"/>
      <x:c r="B16" s="70"/>
      <x:c r="C16" s="70"/>
      <x:c r="D16" s="70"/>
      <x:c r="E16" s="70"/>
      <x:c r="F16" s="70"/>
      <x:c r="G16" s="70"/>
      <x:c r="H16" s="70"/>
    </x:row>
    <x:row r="17">
      <x:c r="A17" s="70"/>
      <x:c r="B17" s="70"/>
      <x:c r="C17" s="70"/>
      <x:c r="D17" s="70"/>
      <x:c r="E17" s="70"/>
      <x:c r="F17" s="70"/>
      <x:c r="G17" s="70"/>
      <x:c r="H17" s="70"/>
    </x:row>
    <x:row r="18">
      <x:c r="A18" s="71" t="str">
        <x:v>DEVELOPMENT BUDGET STRESS TEST</x:v>
      </x:c>
      <x:c r="B18" s="71" t="str">
        <x:v>DEVELOPMENT BUDGET STRESS TEST</x:v>
      </x:c>
      <x:c r="C18" s="71" t="str">
        <x:v>DEVELOPMENT BUDGET STRESS TEST</x:v>
      </x:c>
      <x:c r="D18" s="71" t="str">
        <x:v>DEVELOPMENT BUDGET STRESS TEST</x:v>
      </x:c>
      <x:c r="E18" s="71" t="str">
        <x:v>DEVELOPMENT BUDGET STRESS TEST</x:v>
      </x:c>
      <x:c r="F18" s="71" t="str">
        <x:v>DEVELOPMENT BUDGET STRESS TEST</x:v>
      </x:c>
      <x:c r="G18" s="71" t="str">
        <x:v>DEVELOPMENT BUDGET STRESS TEST</x:v>
      </x:c>
      <x:c r="H18" s="71" t="str">
        <x:v>DEVELOPMENT BUDGET STRESS TEST</x:v>
      </x:c>
    </x:row>
    <x:row r="19">
      <x:c r="A19" s="109" t="str">
        <x:v>Item</x:v>
      </x:c>
      <x:c r="B19" s="109" t="str">
        <x:v>Unconstrained €000</x:v>
      </x:c>
      <x:c r="C19" s="109" t="str">
        <x:v>Budgeted €000</x:v>
      </x:c>
      <x:c r="D19" s="109" t="str">
        <x:v>Saving €000</x:v>
      </x:c>
      <x:c r="E19" s="109" t="str">
        <x:v>Assessment</x:v>
      </x:c>
      <x:c r="F19" s="109" t="str">
        <x:v>Basis</x:v>
      </x:c>
      <x:c r="G19" s="70"/>
      <x:c r="H19" s="70"/>
    </x:row>
    <x:row r="20" ht="44" customHeight="1">
      <x:c r="A20" s="100" t="str">
        <x:v>Land</x:v>
      </x:c>
      <x:c r="B20" s="101" t="n">
        <x:v>48</x:v>
      </x:c>
      <x:c r="C20" s="101" t="n">
        <x:v>48</x:v>
      </x:c>
      <x:c r="D20" s="101" t="n">
        <x:v>0</x:v>
      </x:c>
      <x:c r="E20" s="100" t="str">
        <x:v>Protected</x:v>
      </x:c>
      <x:c r="F20" s="100" t="str">
        <x:v>Agreed land allocation</x:v>
      </x:c>
      <x:c r="G20" s="70"/>
      <x:c r="H20" s="70"/>
    </x:row>
    <x:row r="21" ht="44" customHeight="1">
      <x:c r="A21" s="100" t="str">
        <x:v>Direct development &amp; fit-out</x:v>
      </x:c>
      <x:c r="B21" s="101" t="n">
        <x:v>179</x:v>
      </x:c>
      <x:c r="C21" s="101" t="n">
        <x:v>150</x:v>
      </x:c>
      <x:c r="D21" s="101" t="n">
        <x:v>-29</x:v>
      </x:c>
      <x:c r="E21" s="100" t="str">
        <x:v>Scope reduced</x:v>
      </x:c>
      <x:c r="F21" s="100" t="str">
        <x:v>Value-engineer building, FF&amp;E and amenities</x:v>
      </x:c>
      <x:c r="G21" s="70"/>
      <x:c r="H21" s="70"/>
    </x:row>
    <x:row r="22" ht="44" customHeight="1">
      <x:c r="A22" s="100" t="str">
        <x:v>Professional fees &amp; permits</x:v>
      </x:c>
      <x:c r="B22" s="101" t="n">
        <x:v>18</x:v>
      </x:c>
      <x:c r="C22" s="101" t="n">
        <x:v>12</x:v>
      </x:c>
      <x:c r="D22" s="101" t="n">
        <x:v>-6</x:v>
      </x:c>
      <x:c r="E22" s="100" t="str">
        <x:v>Tightly managed</x:v>
      </x:c>
      <x:c r="F22" s="100" t="str">
        <x:v>Procure fixed scopes and local support</x:v>
      </x:c>
      <x:c r="G22" s="70"/>
      <x:c r="H22" s="70"/>
    </x:row>
    <x:row r="23" ht="44" customHeight="1">
      <x:c r="A23" s="100" t="str">
        <x:v>Pre-opening &amp; working capital</x:v>
      </x:c>
      <x:c r="B23" s="101" t="n">
        <x:v>10</x:v>
      </x:c>
      <x:c r="C23" s="101" t="n">
        <x:v>10</x:v>
      </x:c>
      <x:c r="D23" s="101" t="n">
        <x:v>0</x:v>
      </x:c>
      <x:c r="E23" s="100" t="str">
        <x:v>Protected</x:v>
      </x:c>
      <x:c r="F23" s="100" t="str">
        <x:v>Opening stock, training, launch and cash buffer</x:v>
      </x:c>
      <x:c r="G23" s="70"/>
      <x:c r="H23" s="70"/>
    </x:row>
    <x:row r="24" ht="44" customHeight="1">
      <x:c r="A24" s="100" t="str">
        <x:v>Contingency</x:v>
      </x:c>
      <x:c r="B24" s="101" t="n">
        <x:v>22</x:v>
      </x:c>
      <x:c r="C24" s="101" t="n">
        <x:v>22</x:v>
      </x:c>
      <x:c r="D24" s="101" t="n">
        <x:v>0</x:v>
      </x:c>
      <x:c r="E24" s="100" t="str">
        <x:v>Protected</x:v>
      </x:c>
      <x:c r="F24" s="100" t="str">
        <x:v>≈15% of reduced direct development</x:v>
      </x:c>
      <x:c r="G24" s="70"/>
      <x:c r="H24" s="70"/>
    </x:row>
    <x:row r="25" ht="44" customHeight="1">
      <x:c r="A25" s="106" t="str">
        <x:v>Total project cost</x:v>
      </x:c>
      <x:c r="B25" s="107" t="n">
        <x:v>277</x:v>
      </x:c>
      <x:c r="C25" s="107" t="n">
        <x:v>242</x:v>
      </x:c>
      <x:c r="D25" s="107" t="n">
        <x:v>-35</x:v>
      </x:c>
      <x:c r="E25" s="100" t="str">
        <x:v>Fits agreed ceiling</x:v>
      </x:c>
      <x:c r="F25" s="100" t="str">
        <x:v>No funding gap; scope must remain disciplined</x:v>
      </x:c>
      <x:c r="G25" s="70"/>
      <x:c r="H25" s="70"/>
    </x:row>
  </x:sheetData>
  <x:mergeCells>
    <x:mergeCell ref="A1:H1"/>
    <x:mergeCell ref="A2:H2"/>
    <x:mergeCell ref="A18:H18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4" hidden="0" customWidth="1"/>
    <x:col min="6" max="6" width="14" hidden="0" customWidth="1"/>
    <x:col min="7" max="7" width="48" hidden="0" customWidth="1"/>
  </x:cols>
  <x:sheetData>
    <x:row r="1" ht="34" customHeight="1">
      <x:c r="A1" s="111" t="str">
        <x:v>MODEL CHECKS</x:v>
      </x:c>
      <x:c r="B1" s="111" t="str">
        <x:v>MODEL CHECKS</x:v>
      </x:c>
      <x:c r="C1" s="111" t="str">
        <x:v>MODEL CHECKS</x:v>
      </x:c>
      <x:c r="D1" s="111" t="str">
        <x:v>MODEL CHECKS</x:v>
      </x:c>
      <x:c r="E1" s="111" t="str">
        <x:v>MODEL CHECKS</x:v>
      </x:c>
      <x:c r="F1" s="111" t="str">
        <x:v>MODEL CHECKS</x:v>
      </x:c>
      <x:c r="G1" s="111" t="str">
        <x:v>MODEL CHECKS</x:v>
      </x:c>
      <x:c r="H1" s="112"/>
    </x:row>
    <x:row r="2" ht="30" customHeight="1">
      <x:c r="A2" s="69" t="str">
        <x:v>PASS means formulas reconcile mechanically; it does not validate commercial assumptions.</x:v>
      </x:c>
      <x:c r="B2" s="69" t="str">
        <x:v>PASS means formulas reconcile mechanically; it does not validate commercial assumptions.</x:v>
      </x:c>
      <x:c r="C2" s="69" t="str">
        <x:v>PASS means formulas reconcile mechanically; it does not validate commercial assumptions.</x:v>
      </x:c>
      <x:c r="D2" s="69" t="str">
        <x:v>PASS means formulas reconcile mechanically; it does not validate commercial assumptions.</x:v>
      </x:c>
      <x:c r="E2" s="69" t="str">
        <x:v>PASS means formulas reconcile mechanically; it does not validate commercial assumptions.</x:v>
      </x:c>
      <x:c r="F2" s="69" t="str">
        <x:v>PASS means formulas reconcile mechanically; it does not validate commercial assumptions.</x:v>
      </x:c>
      <x:c r="G2" s="69" t="str">
        <x:v>PASS means formulas reconcile mechanically; it does not validate commercial assumptions.</x:v>
      </x:c>
      <x:c r="H2" s="69" t="str">
        <x:v>PASS means formulas reconcile mechanically; it does not validate commercial assumptions.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Check</x:v>
      </x:c>
      <x:c r="B4" s="97" t="str">
        <x:v>Actual</x:v>
      </x:c>
      <x:c r="C4" s="97" t="str">
        <x:v>Expected</x:v>
      </x:c>
      <x:c r="D4" s="97" t="str">
        <x:v>Difference</x:v>
      </x:c>
      <x:c r="E4" s="97" t="str">
        <x:v>Tolerance</x:v>
      </x:c>
      <x:c r="F4" s="97" t="str">
        <x:v>Status</x:v>
      </x:c>
      <x:c r="G4" s="97" t="str">
        <x:v>Where to fix / note</x:v>
      </x:c>
      <x:c r="H4" s="70"/>
    </x:row>
    <x:row r="5">
      <x:c r="A5" s="70" t="str">
        <x:v>Capex total matches €242k</x:v>
      </x:c>
      <x:c r="B5" s="73" t="n">
        <x:f>'Capex'!B14</x:f>
        <x:v>242</x:v>
      </x:c>
      <x:c r="C5" s="73" t="n">
        <x:v>242</x:v>
      </x:c>
      <x:c r="D5" s="73" t="n">
        <x:f>B5-C5</x:f>
        <x:v>0</x:v>
      </x:c>
      <x:c r="E5" s="73" t="n">
        <x:v>0.01</x:v>
      </x:c>
      <x:c r="F5" s="70" t="str">
        <x:f>IF(ABS(D5)&lt;=E5,"OK","FAIL")</x:f>
        <x:v>OK</x:v>
      </x:c>
      <x:c r="G5" s="70" t="str">
        <x:v>Capex!B5:B13</x:v>
      </x:c>
      <x:c r="H5" s="70"/>
    </x:row>
    <x:row r="6">
      <x:c r="A6" s="70" t="str">
        <x:v>Revenue total ties</x:v>
      </x:c>
      <x:c r="B6" s="73" t="n">
        <x:f>'P&amp;L'!B7</x:f>
        <x:v>63772.8</x:v>
      </x:c>
      <x:c r="C6" s="73" t="n">
        <x:f>'Revenue Model'!B12</x:f>
        <x:v>63772.8</x:v>
      </x:c>
      <x:c r="D6" s="73" t="n">
        <x:f>B6-C6</x:f>
        <x:v>0</x:v>
      </x:c>
      <x:c r="E6" s="73" t="n">
        <x:v>0.01</x:v>
      </x:c>
      <x:c r="F6" s="70" t="str">
        <x:f>IF(ABS(D6)&lt;=E6,"OK","FAIL")</x:f>
        <x:v>OK</x:v>
      </x:c>
      <x:c r="G6" s="70" t="str">
        <x:v>P&amp;L / Revenue Model</x:v>
      </x:c>
      <x:c r="H6" s="70"/>
    </x:row>
    <x:row r="7">
      <x:c r="A7" s="70" t="str">
        <x:v>Operating cost total ties</x:v>
      </x:c>
      <x:c r="B7" s="73" t="n">
        <x:f>'Operating Costs'!B13</x:f>
        <x:v>56151.8816</x:v>
      </x:c>
      <x:c r="C7" s="73" t="n">
        <x:f>SUM('Operating Costs'!B5:B12)</x:f>
        <x:v>56151.8816</x:v>
      </x:c>
      <x:c r="D7" s="73" t="n">
        <x:f>B7-C7</x:f>
        <x:v>0</x:v>
      </x:c>
      <x:c r="E7" s="73" t="n">
        <x:v>0.01</x:v>
      </x:c>
      <x:c r="F7" s="70" t="str">
        <x:f>IF(ABS(D7)&lt;=E7,"OK","FAIL")</x:f>
        <x:v>OK</x:v>
      </x:c>
      <x:c r="G7" s="70" t="str">
        <x:v>Operating Costs!B5:B13</x:v>
      </x:c>
      <x:c r="H7" s="70"/>
    </x:row>
    <x:row r="8">
      <x:c r="A8" s="70" t="str">
        <x:v>P&amp;L operating result ties</x:v>
      </x:c>
      <x:c r="B8" s="73" t="n">
        <x:f>'P&amp;L'!B9</x:f>
        <x:v>7620.918400000002</x:v>
      </x:c>
      <x:c r="C8" s="73" t="n">
        <x:f>'P&amp;L'!B7-'P&amp;L'!B8</x:f>
        <x:v>7620.918400000002</x:v>
      </x:c>
      <x:c r="D8" s="73" t="n">
        <x:f>B8-C8</x:f>
        <x:v>0</x:v>
      </x:c>
      <x:c r="E8" s="73" t="n">
        <x:v>0.01</x:v>
      </x:c>
      <x:c r="F8" s="70" t="str">
        <x:f>IF(ABS(D8)&lt;=E8,"OK","FAIL")</x:f>
        <x:v>OK</x:v>
      </x:c>
      <x:c r="G8" s="70" t="str">
        <x:v>P&amp;L!B7:B9</x:v>
      </x:c>
      <x:c r="H8" s="70"/>
    </x:row>
    <x:row r="9">
      <x:c r="A9" s="70" t="str">
        <x:v>Cash available is non-negative</x:v>
      </x:c>
      <x:c r="B9" s="70" t="n">
        <x:f>MIN('Cash Flow'!B9:F9)</x:f>
        <x:v>0</x:v>
      </x:c>
      <x:c r="C9" s="70" t="n">
        <x:v>0</x:v>
      </x:c>
      <x:c r="D9" s="70" t="n">
        <x:f>B9-C9</x:f>
        <x:v>0</x:v>
      </x:c>
      <x:c r="E9" s="70" t="n">
        <x:v>0</x:v>
      </x:c>
      <x:c r="F9" s="70" t="str">
        <x:f>IF(D9&gt;=0,"OK","FAIL")</x:f>
        <x:v>OK</x:v>
      </x:c>
      <x:c r="G9" s="70" t="str">
        <x:v>Cash Flow!B9:F9</x:v>
      </x:c>
      <x:c r="H9" s="70"/>
    </x:row>
    <x:row r="10">
      <x:c r="A10" s="70" t="str">
        <x:v>All required base inputs populated</x:v>
      </x:c>
      <x:c r="B10" s="70" t="n">
        <x:f>COUNT('Assumptions'!C6:C12)+COUNT('Assumptions'!C26:C35)</x:f>
        <x:v>17</x:v>
      </x:c>
      <x:c r="C10" s="70" t="n">
        <x:v>17</x:v>
      </x:c>
      <x:c r="D10" s="70" t="n">
        <x:f>B10-C10</x:f>
        <x:v>0</x:v>
      </x:c>
      <x:c r="E10" s="70" t="n">
        <x:v>0</x:v>
      </x:c>
      <x:c r="F10" s="70" t="str">
        <x:f>IF(D10=0,"OK","FAIL")</x:f>
        <x:v>OK</x:v>
      </x:c>
      <x:c r="G10" s="70" t="str">
        <x:v>Assumptions input blocks</x:v>
      </x:c>
      <x:c r="H10" s="70"/>
    </x:row>
    <x:row r="11">
      <x:c r="A11" s="70"/>
      <x:c r="B11" s="70"/>
      <x:c r="C11" s="70"/>
      <x:c r="D11" s="70"/>
      <x:c r="E11" s="70"/>
      <x:c r="F11" s="70"/>
      <x:c r="G11" s="70"/>
      <x:c r="H11" s="70"/>
    </x:row>
    <x:row r="12">
      <x:c r="A12" s="70"/>
      <x:c r="B12" s="70"/>
      <x:c r="C12" s="70"/>
      <x:c r="D12" s="70"/>
      <x:c r="E12" s="70"/>
      <x:c r="F12" s="70"/>
      <x:c r="G12" s="70"/>
      <x:c r="H12" s="70"/>
    </x:row>
    <x:row r="13">
      <x:c r="A13" s="110" t="str">
        <x:v>MODEL STATUS</x:v>
      </x:c>
      <x:c r="B13" s="110"/>
      <x:c r="C13" s="110"/>
      <x:c r="D13" s="70"/>
      <x:c r="E13" s="70"/>
      <x:c r="F13" s="70"/>
      <x:c r="G13" s="70"/>
      <x:c r="H13" s="70"/>
    </x:row>
    <x:row r="14">
      <x:c r="A14" s="70" t="str">
        <x:v>Status</x:v>
      </x:c>
      <x:c r="B14" s="72" t="str">
        <x:f>IF(COUNTIF(F5:F10,"FAIL")=0,"PASS","FAIL")</x:f>
        <x:v>PASS</x:v>
      </x:c>
      <x:c r="C14" s="70"/>
      <x:c r="D14" s="70"/>
      <x:c r="E14" s="70"/>
      <x:c r="F14" s="70"/>
      <x:c r="G14" s="70"/>
      <x:c r="H14" s="70"/>
    </x:row>
  </x:sheetData>
  <x:mergeCells>
    <x:mergeCell ref="A1:G1"/>
    <x:mergeCell ref="A2:H2"/>
    <x:mergeCell ref="A13:C1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2" hidden="0" customWidth="1"/>
    <x:col min="3" max="3" width="18" hidden="0" customWidth="1"/>
    <x:col min="4" max="4" width="18" hidden="0" customWidth="1"/>
    <x:col min="5" max="5" width="24" hidden="0" customWidth="1"/>
    <x:col min="6" max="6" width="38" hidden="0" customWidth="1"/>
    <x:col min="7" max="7" width="45" hidden="0" customWidth="1"/>
    <x:col min="8" max="8" width="16" hidden="0" customWidth="1"/>
  </x:cols>
  <x:sheetData>
    <x:row r="1" ht="34" customHeight="1">
      <x:c r="A1" s="111" t="str">
        <x:v>SOURCES, ASSUMPTIONS &amp; LIMITATIONS</x:v>
      </x:c>
      <x:c r="B1" s="111" t="str">
        <x:v>SOURCES, ASSUMPTIONS &amp; LIMITATIONS</x:v>
      </x:c>
      <x:c r="C1" s="111" t="str">
        <x:v>SOURCES, ASSUMPTIONS &amp; LIMITATIONS</x:v>
      </x:c>
      <x:c r="D1" s="111" t="str">
        <x:v>SOURCES, ASSUMPTIONS &amp; LIMITATIONS</x:v>
      </x:c>
      <x:c r="E1" s="111" t="str">
        <x:v>SOURCES, ASSUMPTIONS &amp; LIMITATIONS</x:v>
      </x:c>
      <x:c r="F1" s="111" t="str">
        <x:v>SOURCES, ASSUMPTIONS &amp; LIMITATIONS</x:v>
      </x:c>
      <x:c r="G1" s="111" t="str">
        <x:v>SOURCES, ASSUMPTIONS &amp; LIMITATIONS</x:v>
      </x:c>
      <x:c r="H1" s="111" t="str">
        <x:v>SOURCES, ASSUMPTIONS &amp; LIMITATIONS</x:v>
      </x:c>
    </x:row>
    <x:row r="2" ht="30" customHeight="1">
      <x:c r="A2" s="69" t="str">
        <x:v>Every hardcoded model input is either from the Salamina investor page or explicitly labelled as a planning assumption.</x:v>
      </x:c>
      <x:c r="B2" s="69" t="str">
        <x:v>Every hardcoded model input is either from the Salamina investor page or explicitly labelled as a planning assumption.</x:v>
      </x:c>
      <x:c r="C2" s="69" t="str">
        <x:v>Every hardcoded model input is either from the Salamina investor page or explicitly labelled as a planning assumption.</x:v>
      </x:c>
      <x:c r="D2" s="69" t="str">
        <x:v>Every hardcoded model input is either from the Salamina investor page or explicitly labelled as a planning assumption.</x:v>
      </x:c>
      <x:c r="E2" s="69" t="str">
        <x:v>Every hardcoded model input is either from the Salamina investor page or explicitly labelled as a planning assumption.</x:v>
      </x:c>
      <x:c r="F2" s="69" t="str">
        <x:v>Every hardcoded model input is either from the Salamina investor page or explicitly labelled as a planning assumption.</x:v>
      </x:c>
      <x:c r="G2" s="69" t="str">
        <x:v>Every hardcoded model input is either from the Salamina investor page or explicitly labelled as a planning assumption.</x:v>
      </x:c>
      <x:c r="H2" s="69" t="str">
        <x:v>Every hardcoded model input is either from the Salamina investor page or explicitly labelled as a planning assumption.</x:v>
      </x:c>
    </x:row>
    <x:row r="3">
      <x:c r="A3" s="70"/>
      <x:c r="B3" s="70"/>
      <x:c r="C3" s="70"/>
      <x:c r="D3" s="70"/>
      <x:c r="E3" s="70"/>
      <x:c r="F3" s="70"/>
      <x:c r="G3" s="70"/>
      <x:c r="H3" s="70"/>
    </x:row>
    <x:row r="4">
      <x:c r="A4" s="97" t="str">
        <x:v>Item</x:v>
      </x:c>
      <x:c r="B4" s="97" t="str">
        <x:v>Value</x:v>
      </x:c>
      <x:c r="C4" s="97" t="str">
        <x:v>Units</x:v>
      </x:c>
      <x:c r="D4" s="97" t="str">
        <x:v>As of</x:v>
      </x:c>
      <x:c r="E4" s="97" t="str">
        <x:v>Source type</x:v>
      </x:c>
      <x:c r="F4" s="97" t="str">
        <x:v>Source / reference</x:v>
      </x:c>
      <x:c r="G4" s="97" t="str">
        <x:v>Notes</x:v>
      </x:c>
      <x:c r="H4" s="97" t="str">
        <x:v>Owner</x:v>
      </x:c>
    </x:row>
    <x:row r="5" ht="34" customHeight="1">
      <x:c r="A5" s="100" t="str">
        <x:v>Rooms</x:v>
      </x:c>
      <x:c r="B5" s="100" t="n">
        <x:v>12</x:v>
      </x:c>
      <x:c r="C5" s="100" t="str">
        <x:v>rooms</x:v>
      </x:c>
      <x:c r="D5" s="100" t="str">
        <x:v>Aug 2026</x:v>
      </x:c>
      <x:c r="E5" s="100" t="str">
        <x:v>Website</x:v>
      </x:c>
      <x:c r="F5" s="100" t="str">
        <x:v>https://salaminalombok.com/investors</x:v>
      </x:c>
      <x:c r="G5" s="100" t="str">
        <x:v>Phase 1</x:v>
      </x:c>
      <x:c r="H5" s="100" t="str">
        <x:v>Founder</x:v>
      </x:c>
    </x:row>
    <x:row r="6" ht="34" customHeight="1">
      <x:c r="A6" s="100" t="str">
        <x:v>Total project investment</x:v>
      </x:c>
      <x:c r="B6" s="101" t="n">
        <x:v>242000</x:v>
      </x:c>
      <x:c r="C6" s="100" t="str">
        <x:v>EUR fixed ceiling</x:v>
      </x:c>
      <x:c r="D6" s="100" t="str">
        <x:v>Aug 2026</x:v>
      </x:c>
      <x:c r="E6" s="100" t="str">
        <x:v>Agreed budget</x:v>
      </x:c>
      <x:c r="F6" s="100" t="str">
        <x:v>Cost Audit / Capex sheets</x:v>
      </x:c>
      <x:c r="G6" s="100" t="str">
        <x:v>Scope-constrained plan including contingency</x:v>
      </x:c>
      <x:c r="H6" s="100" t="str">
        <x:v>Founder</x:v>
      </x:c>
    </x:row>
    <x:row r="7" ht="34" customHeight="1">
      <x:c r="A7" s="100" t="str">
        <x:v>Land allocation</x:v>
      </x:c>
      <x:c r="B7" s="101" t="n">
        <x:v>48000</x:v>
      </x:c>
      <x:c r="C7" s="100" t="str">
        <x:v>EUR approx.</x:v>
      </x:c>
      <x:c r="D7" s="100" t="str">
        <x:v>Aug 2026</x:v>
      </x:c>
      <x:c r="E7" s="100" t="str">
        <x:v>Website</x:v>
      </x:c>
      <x:c r="F7" s="100" t="str">
        <x:v>https://salaminalombok.com/investors</x:v>
      </x:c>
      <x:c r="G7" s="100" t="str">
        <x:v>Land purchased and owned in advised structure</x:v>
      </x:c>
      <x:c r="H7" s="100" t="str">
        <x:v>Founder</x:v>
      </x:c>
    </x:row>
    <x:row r="8" ht="34" customHeight="1">
      <x:c r="A8" s="100" t="str">
        <x:v>Construction/development</x:v>
      </x:c>
      <x:c r="B8" s="101" t="n">
        <x:v>194000</x:v>
      </x:c>
      <x:c r="C8" s="100" t="str">
        <x:v>EUR fixed envelope</x:v>
      </x:c>
      <x:c r="D8" s="100" t="str">
        <x:v>Aug 2026</x:v>
      </x:c>
      <x:c r="E8" s="100" t="str">
        <x:v>Agreed budget</x:v>
      </x:c>
      <x:c r="F8" s="100" t="str">
        <x:v>Capex sheet</x:v>
      </x:c>
      <x:c r="G8" s="100" t="str">
        <x:v>Development, fees, pre-opening and contingency</x:v>
      </x:c>
      <x:c r="H8" s="100" t="str">
        <x:v>Founder</x:v>
      </x:c>
    </x:row>
    <x:row r="9" ht="34" customHeight="1">
      <x:c r="A9" s="100" t="str">
        <x:v>Occupancy scenarios</x:v>
      </x:c>
      <x:c r="B9" s="100" t="str">
        <x:v>50% / 62.5% / 70%</x:v>
      </x:c>
      <x:c r="C9" s="100" t="str">
        <x:v>%</x:v>
      </x:c>
      <x:c r="D9" s="100" t="str">
        <x:v>Aug 2026</x:v>
      </x:c>
      <x:c r="E9" s="100" t="str">
        <x:v>Website</x:v>
      </x:c>
      <x:c r="F9" s="100" t="str">
        <x:v>https://salaminalombok.com/investors</x:v>
      </x:c>
      <x:c r="G9" s="100" t="str">
        <x:v>Launch / Year 2 / mature</x:v>
      </x:c>
      <x:c r="H9" s="100" t="str">
        <x:v>Founder</x:v>
      </x:c>
    </x:row>
    <x:row r="10" ht="34" customHeight="1">
      <x:c r="A10" s="100" t="str">
        <x:v>ADR scenarios</x:v>
      </x:c>
      <x:c r="B10" s="100" t="str">
        <x:v>€28 / €30 / €32</x:v>
      </x:c>
      <x:c r="C10" s="100" t="str">
        <x:v>EUR/night</x:v>
      </x:c>
      <x:c r="D10" s="100" t="str">
        <x:v>Aug 2026</x:v>
      </x:c>
      <x:c r="E10" s="100" t="str">
        <x:v>Website</x:v>
      </x:c>
      <x:c r="F10" s="100" t="str">
        <x:v>https://salaminalombok.com/investors</x:v>
      </x:c>
      <x:c r="G10" s="100" t="str">
        <x:v>Blended ADR</x:v>
      </x:c>
      <x:c r="H10" s="100" t="str">
        <x:v>Founder</x:v>
      </x:c>
    </x:row>
    <x:row r="11" ht="34" customHeight="1">
      <x:c r="A11" s="100" t="str">
        <x:v>Core staff</x:v>
      </x:c>
      <x:c r="B11" s="100" t="n">
        <x:v>4</x:v>
      </x:c>
      <x:c r="C11" s="100" t="str">
        <x:v>FTE</x:v>
      </x:c>
      <x:c r="D11" s="100" t="str">
        <x:v>Aug 2026</x:v>
      </x:c>
      <x:c r="E11" s="100" t="str">
        <x:v>Website</x:v>
      </x:c>
      <x:c r="F11" s="100" t="str">
        <x:v>https://salaminalombok.com/investors</x:v>
      </x:c>
      <x:c r="G11" s="100" t="str">
        <x:v>Reception, operations, housekeeping</x:v>
      </x:c>
      <x:c r="H11" s="100" t="str">
        <x:v>Founder</x:v>
      </x:c>
    </x:row>
    <x:row r="12" ht="34" customHeight="1">
      <x:c r="A12" s="100" t="str">
        <x:v>Cost detail</x:v>
      </x:c>
      <x:c r="B12" s="100" t="str">
        <x:v>See yellow inputs</x:v>
      </x:c>
      <x:c r="C12" s="100" t="str">
        <x:v>various</x:v>
      </x:c>
      <x:c r="D12" s="100" t="str">
        <x:v>Aug 2026</x:v>
      </x:c>
      <x:c r="E12" s="100" t="str">
        <x:v>Planning assumptions</x:v>
      </x:c>
      <x:c r="F12" s="100" t="str">
        <x:v>Assumptions sheet</x:v>
      </x:c>
      <x:c r="G12" s="100" t="str">
        <x:v>Requires quotes, payroll and supplier validation</x:v>
      </x:c>
      <x:c r="H12" s="100" t="str">
        <x:v>Founder/advisers</x:v>
      </x:c>
    </x:row>
    <x:row r="13" ht="34" customHeight="1">
      <x:c r="A13" s="100" t="str">
        <x:v>Tax placeholder</x:v>
      </x:c>
      <x:c r="B13" s="100" t="n">
        <x:v>22</x:v>
      </x:c>
      <x:c r="C13" s="100" t="str">
        <x:v>%</x:v>
      </x:c>
      <x:c r="D13" s="100" t="str">
        <x:v>Aug 2026</x:v>
      </x:c>
      <x:c r="E13" s="100" t="str">
        <x:v>Official reference</x:v>
      </x:c>
      <x:c r="F13" s="100" t="str">
        <x:v>https://pajak.go.id/index.php/id/artikel/badan-usaha-justru-tidak-terbebani-dengan-pp-202026-ini-penjelasannya</x:v>
      </x:c>
      <x:c r="G13" s="100" t="str">
        <x:v>Standard corporate-rate placeholder; replace after structuring</x:v>
      </x:c>
      <x:c r="H13" s="100" t="str">
        <x:v>Tax adviser</x:v>
      </x:c>
    </x:row>
    <x:row r="14" ht="34" customHeight="1">
      <x:c r="A14" s="100" t="str">
        <x:v>Important limitation</x:v>
      </x:c>
      <x:c r="B14" s="100" t="str">
        <x:v>Illustrative only</x:v>
      </x:c>
      <x:c r="C14" s="100" t="str"/>
      <x:c r="D14" s="100" t="str">
        <x:v>Aug 2026</x:v>
      </x:c>
      <x:c r="E14" s="100" t="str">
        <x:v>Disclosure</x:v>
      </x:c>
      <x:c r="F14" s="100" t="str">
        <x:v>This workbook</x:v>
      </x:c>
      <x:c r="G14" s="100" t="str">
        <x:v>Not an offer, forecast or guarantee</x:v>
      </x:c>
      <x:c r="H14" s="100" t="str">
        <x:v>Salamina</x:v>
      </x:c>
    </x:row>
  </x:sheetData>
  <x:mergeCells>
    <x:mergeCell ref="A1:H1"/>
    <x:mergeCell ref="A2:H2"/>
  </x:mergeCells>
  <x:pageMargins left="0.7" right="0.7" top="0.75" bottom="0.75" header="0.3" footer="0.3"/>
</x:worksheet>
</file>